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<sst xmlns="http://schemas.openxmlformats.org/spreadsheetml/2006/main" count="305" uniqueCount="292">
  <si>
    <t>Person First Name</t>
  </si>
  <si>
    <t>Person Last Name</t>
  </si>
  <si>
    <t>Person Organisation</t>
  </si>
  <si>
    <t>Person Country Name</t>
  </si>
  <si>
    <t>CHARLES</t>
  </si>
  <si>
    <t>ABBOTT</t>
  </si>
  <si>
    <t>SCOTLAND EUROPA</t>
  </si>
  <si>
    <t>MARTA</t>
  </si>
  <si>
    <t>ACOSTA</t>
  </si>
  <si>
    <t>ERISA</t>
  </si>
  <si>
    <t>RICHARD</t>
  </si>
  <si>
    <t>AKED</t>
  </si>
  <si>
    <t>SPACE APPLICATIONS SERVICES NV</t>
  </si>
  <si>
    <t>MARCO</t>
  </si>
  <si>
    <t>ANDRES</t>
  </si>
  <si>
    <t>ZENIT</t>
  </si>
  <si>
    <t>MICHAEL</t>
  </si>
  <si>
    <t>ARBIERG</t>
  </si>
  <si>
    <t>NORTH DENMARK</t>
  </si>
  <si>
    <t>ROYA</t>
  </si>
  <si>
    <t>AYAZI</t>
  </si>
  <si>
    <t>NEREUS</t>
  </si>
  <si>
    <t>NIMA</t>
  </si>
  <si>
    <t>AZARMGIN</t>
  </si>
  <si>
    <t>SES</t>
  </si>
  <si>
    <t>HILDETIER</t>
  </si>
  <si>
    <t>BALK</t>
  </si>
  <si>
    <t xml:space="preserve">Silvia </t>
  </si>
  <si>
    <t>Barbieri</t>
  </si>
  <si>
    <t>Associazione delle Società per l'Innovazione Tecnologica nelle Regioni</t>
  </si>
  <si>
    <t>PHILIP</t>
  </si>
  <si>
    <t>BATES</t>
  </si>
  <si>
    <t>ANALYSYS MASON</t>
  </si>
  <si>
    <t>SONIA</t>
  </si>
  <si>
    <t>BETHENCOURT</t>
  </si>
  <si>
    <t>BASSE NORMANDIE</t>
  </si>
  <si>
    <t>OLIVIER</t>
  </si>
  <si>
    <t>BONTRON</t>
  </si>
  <si>
    <t>TELIP</t>
  </si>
  <si>
    <t>KARIMA</t>
  </si>
  <si>
    <t>BOURGUARD</t>
  </si>
  <si>
    <t>IHE EUROPE</t>
  </si>
  <si>
    <t xml:space="preserve">Leontien </t>
  </si>
  <si>
    <t>Bout</t>
  </si>
  <si>
    <t>EYE Film Instituut Nederland</t>
  </si>
  <si>
    <t>LEONTINE</t>
  </si>
  <si>
    <t>BOUT</t>
  </si>
  <si>
    <t>EYE FILM INSTITURE</t>
  </si>
  <si>
    <t>OZLEM</t>
  </si>
  <si>
    <t>CANGAR</t>
  </si>
  <si>
    <t>IMEC</t>
  </si>
  <si>
    <t>JENNIFER</t>
  </si>
  <si>
    <t>CARSON</t>
  </si>
  <si>
    <t>EAST OF ENGLAND BXL OFFICE</t>
  </si>
  <si>
    <t>DANIELE</t>
  </si>
  <si>
    <t>CATTEDDU</t>
  </si>
  <si>
    <t>CSA</t>
  </si>
  <si>
    <t>JARKA</t>
  </si>
  <si>
    <t>CHLOUPKOVA</t>
  </si>
  <si>
    <t>PROFI PRESS</t>
  </si>
  <si>
    <t>CONTINENTE</t>
  </si>
  <si>
    <t>AREA METROPOLITANA DE BARCELONA</t>
  </si>
  <si>
    <t>VITTORIO</t>
  </si>
  <si>
    <t>D'ALTO</t>
  </si>
  <si>
    <t>EU PARLAMENT</t>
  </si>
  <si>
    <t>CEDRIC</t>
  </si>
  <si>
    <t>DAMAS</t>
  </si>
  <si>
    <t>ILE DE FRANCE EUROPA</t>
  </si>
  <si>
    <t>WIM</t>
  </si>
  <si>
    <t>DE KINDEREN</t>
  </si>
  <si>
    <t>JAN</t>
  </si>
  <si>
    <t>DE MULDER</t>
  </si>
  <si>
    <t>FLEMISH GOVT PERM REP BELGIUM</t>
  </si>
  <si>
    <t>ANTONELLA</t>
  </si>
  <si>
    <t>DEL PIZZO</t>
  </si>
  <si>
    <t>PARLAMENT EUROPEEN</t>
  </si>
  <si>
    <t>GINEVRA</t>
  </si>
  <si>
    <t>DEL VECCHIO</t>
  </si>
  <si>
    <t>TECLA EUROPA</t>
  </si>
  <si>
    <t>FLORIANA</t>
  </si>
  <si>
    <t>DIBITETTO</t>
  </si>
  <si>
    <t>EMILIA ROMAGNA REGION</t>
  </si>
  <si>
    <t>NIKOLINKA</t>
  </si>
  <si>
    <t>DOTSEVA</t>
  </si>
  <si>
    <t>PE</t>
  </si>
  <si>
    <t>Marie</t>
  </si>
  <si>
    <t>Ernould-Kirk</t>
  </si>
  <si>
    <t>ONUR</t>
  </si>
  <si>
    <t>ERYUCE</t>
  </si>
  <si>
    <t>SODEM</t>
  </si>
  <si>
    <t>IRENE</t>
  </si>
  <si>
    <t>FELLIN</t>
  </si>
  <si>
    <t>GRUPO ABASTARE</t>
  </si>
  <si>
    <t>TIINA</t>
  </si>
  <si>
    <t>FERM</t>
  </si>
  <si>
    <t xml:space="preserve">NIVOLETTA </t>
  </si>
  <si>
    <t>FINI</t>
  </si>
  <si>
    <t>CEERNT</t>
  </si>
  <si>
    <t>="CONSORCIO "FERNANDO DE LOS RIOS""</t>
  </si>
  <si>
    <t xml:space="preserve">NICOLAS </t>
  </si>
  <si>
    <t>GANDERS</t>
  </si>
  <si>
    <t>INNOVA EUROPE</t>
  </si>
  <si>
    <t>CATARINA</t>
  </si>
  <si>
    <t>GARCIA</t>
  </si>
  <si>
    <t>EUPPORTUNITY</t>
  </si>
  <si>
    <t xml:space="preserve">EMILIO </t>
  </si>
  <si>
    <t>SPANISH GOV</t>
  </si>
  <si>
    <t>Mattia</t>
  </si>
  <si>
    <t>Giardini</t>
  </si>
  <si>
    <t>Euro Partners &amp; Associés</t>
  </si>
  <si>
    <t>DENIS</t>
  </si>
  <si>
    <t>GIBADULIN</t>
  </si>
  <si>
    <t>MINISTERSTVO VNITRA</t>
  </si>
  <si>
    <t>CZECH REPUBLIC</t>
  </si>
  <si>
    <t>Carlo</t>
  </si>
  <si>
    <t>GIOVANNELLA</t>
  </si>
  <si>
    <t>UNIV TOR VERGATA</t>
  </si>
  <si>
    <t>JEAN PISARRE</t>
  </si>
  <si>
    <t>GODEFROING</t>
  </si>
  <si>
    <t>MEMOIRE DEPATRINOINE</t>
  </si>
  <si>
    <t xml:space="preserve">Vigdis </t>
  </si>
  <si>
    <t>Gosset</t>
  </si>
  <si>
    <t>225 Degrees Ltd South West European Partnership</t>
  </si>
  <si>
    <t>MATTHIEU</t>
  </si>
  <si>
    <t>GRANDIN</t>
  </si>
  <si>
    <t xml:space="preserve">ZDENEK </t>
  </si>
  <si>
    <t>GUTTER</t>
  </si>
  <si>
    <t>STIMCARE</t>
  </si>
  <si>
    <t>IVAN</t>
  </si>
  <si>
    <t>HERMANS</t>
  </si>
  <si>
    <t>ANTY FOUNDATION</t>
  </si>
  <si>
    <t>HEYLEN</t>
  </si>
  <si>
    <t>CAPGEMINI</t>
  </si>
  <si>
    <t>INGER</t>
  </si>
  <si>
    <t>JENSEN</t>
  </si>
  <si>
    <t>CDEU</t>
  </si>
  <si>
    <t>CANAN</t>
  </si>
  <si>
    <t>KARAOSMANOGLU</t>
  </si>
  <si>
    <t>GERARD</t>
  </si>
  <si>
    <t>KENNEDY</t>
  </si>
  <si>
    <t>ENTERPRISE IRELAND</t>
  </si>
  <si>
    <t>IRELAND</t>
  </si>
  <si>
    <t>DEMETRIOS</t>
  </si>
  <si>
    <t>KLITOU</t>
  </si>
  <si>
    <t>CARSA INNOVALIA</t>
  </si>
  <si>
    <t>Joanna</t>
  </si>
  <si>
    <t>Kubiak</t>
  </si>
  <si>
    <t>Wielkopolska Region Brussels Office</t>
  </si>
  <si>
    <t>JOANNA</t>
  </si>
  <si>
    <t>KUBIAK</t>
  </si>
  <si>
    <t>WIELKOPOLSKA BRUSSELS OFFICE</t>
  </si>
  <si>
    <t>DAVID</t>
  </si>
  <si>
    <t>KVLA</t>
  </si>
  <si>
    <t>PALACKY UNIVERSITY</t>
  </si>
  <si>
    <t>DORDE</t>
  </si>
  <si>
    <t>LAZIC</t>
  </si>
  <si>
    <t>BELIT</t>
  </si>
  <si>
    <t>FRANCOIS</t>
  </si>
  <si>
    <t>LESTANGUET</t>
  </si>
  <si>
    <t>ACCESS EU</t>
  </si>
  <si>
    <t>PAOLA</t>
  </si>
  <si>
    <t>LONGO</t>
  </si>
  <si>
    <t>CEERNY</t>
  </si>
  <si>
    <t>ALEKSANDRA</t>
  </si>
  <si>
    <t>LUGOVIC</t>
  </si>
  <si>
    <t xml:space="preserve">REPRESENTATIVE OFFICE OF </t>
  </si>
  <si>
    <t>RENZO</t>
  </si>
  <si>
    <t>LYON</t>
  </si>
  <si>
    <t>SMALS</t>
  </si>
  <si>
    <t>MABIC</t>
  </si>
  <si>
    <t>Auvergne Centre Limousin</t>
  </si>
  <si>
    <t>SANDRO</t>
  </si>
  <si>
    <t>MACCAGLIA</t>
  </si>
  <si>
    <t>ITALIANA CBE</t>
  </si>
  <si>
    <t>FRIEDEL</t>
  </si>
  <si>
    <t>MAERTENS</t>
  </si>
  <si>
    <t>IBM</t>
  </si>
  <si>
    <t>FABIO</t>
  </si>
  <si>
    <t>MANZI</t>
  </si>
  <si>
    <t>LABOR SRL</t>
  </si>
  <si>
    <t>SIMONA</t>
  </si>
  <si>
    <t>MARTORELLI</t>
  </si>
  <si>
    <t>RAI RADIOTELEVIS</t>
  </si>
  <si>
    <t>FRANCOIS-XAVIER</t>
  </si>
  <si>
    <t>NOTTE</t>
  </si>
  <si>
    <t>P.Y. THIER EUROCINEMA</t>
  </si>
  <si>
    <t>SILAS</t>
  </si>
  <si>
    <t>OLSSON</t>
  </si>
  <si>
    <t>VINNOVA</t>
  </si>
  <si>
    <t>JOHAN</t>
  </si>
  <si>
    <t>OOMEN</t>
  </si>
  <si>
    <t>SOUND AND VISION</t>
  </si>
  <si>
    <t>ULDIS</t>
  </si>
  <si>
    <t>OSIS</t>
  </si>
  <si>
    <t>KONSORTS</t>
  </si>
  <si>
    <t>EMILY</t>
  </si>
  <si>
    <t>PALMER</t>
  </si>
  <si>
    <t>SWEP</t>
  </si>
  <si>
    <t xml:space="preserve">András  </t>
  </si>
  <si>
    <t>Pataricza</t>
  </si>
  <si>
    <t>University of Technology and Economics Budapest</t>
  </si>
  <si>
    <t>MILENA</t>
  </si>
  <si>
    <t>PATVELLI</t>
  </si>
  <si>
    <t>TESEO</t>
  </si>
  <si>
    <t>PEUCHEV</t>
  </si>
  <si>
    <t>TOUCHAPPS</t>
  </si>
  <si>
    <t xml:space="preserve">Geoffrey </t>
  </si>
  <si>
    <t>Portier</t>
  </si>
  <si>
    <t>Transport and Civil Security Thales</t>
  </si>
  <si>
    <t>BLANKA</t>
  </si>
  <si>
    <t>POSTULKOVA</t>
  </si>
  <si>
    <t>OK4EU</t>
  </si>
  <si>
    <t xml:space="preserve">NATALIA </t>
  </si>
  <si>
    <t>PRIESTO</t>
  </si>
  <si>
    <t>CENTRE BALEARS EUROPE</t>
  </si>
  <si>
    <t>CORRADO</t>
  </si>
  <si>
    <t>PROIA</t>
  </si>
  <si>
    <t>DEDALUS SPA</t>
  </si>
  <si>
    <t>RADOSLAV</t>
  </si>
  <si>
    <t>REPA</t>
  </si>
  <si>
    <t>PR SVK TO THE EU</t>
  </si>
  <si>
    <t>JEAN-LUC</t>
  </si>
  <si>
    <t>ROEHET</t>
  </si>
  <si>
    <t xml:space="preserve">BLUE SKY </t>
  </si>
  <si>
    <t>THOMAS</t>
  </si>
  <si>
    <t>ROESSLER</t>
  </si>
  <si>
    <t>WBL</t>
  </si>
  <si>
    <t>VERONICA</t>
  </si>
  <si>
    <t>SARACNO</t>
  </si>
  <si>
    <t>NET EUROPEAN</t>
  </si>
  <si>
    <t>ANNE THERESE</t>
  </si>
  <si>
    <t>SKEHAN</t>
  </si>
  <si>
    <t>SWEDISH INSTITUTE</t>
  </si>
  <si>
    <t>SNESCHANA</t>
  </si>
  <si>
    <t>SOBOL</t>
  </si>
  <si>
    <t>CAS</t>
  </si>
  <si>
    <t>Sarah</t>
  </si>
  <si>
    <t>SOLAZZO</t>
  </si>
  <si>
    <t>UNION CAMERE PIEMONTE</t>
  </si>
  <si>
    <t>VICTORIA</t>
  </si>
  <si>
    <t>SOLITANDER</t>
  </si>
  <si>
    <t>FFG AUSTRIAN RESEARCH PROMOTION AGENCY</t>
  </si>
  <si>
    <t>AUSTRIA</t>
  </si>
  <si>
    <t>IVA</t>
  </si>
  <si>
    <t>TANEVA</t>
  </si>
  <si>
    <t>ENCO SRL</t>
  </si>
  <si>
    <t xml:space="preserve">JULIETA </t>
  </si>
  <si>
    <t>TENCHEVA</t>
  </si>
  <si>
    <t>MINISTRY OF TRANSPORT ITC</t>
  </si>
  <si>
    <t>BULGARIA</t>
  </si>
  <si>
    <t>BORKA</t>
  </si>
  <si>
    <t>TOMIC</t>
  </si>
  <si>
    <t>CITY OF KROGUJEVA SERBIA</t>
  </si>
  <si>
    <t>ANDREA</t>
  </si>
  <si>
    <t>TORTAJADA</t>
  </si>
  <si>
    <t>ITENE</t>
  </si>
  <si>
    <t>STEFANO</t>
  </si>
  <si>
    <t>VALENTINI</t>
  </si>
  <si>
    <t>ABRE</t>
  </si>
  <si>
    <t>VALLA</t>
  </si>
  <si>
    <t>STUDIO VALLA</t>
  </si>
  <si>
    <t>THIERRY</t>
  </si>
  <si>
    <t>VAN CAUWENBERG</t>
  </si>
  <si>
    <t>SPW</t>
  </si>
  <si>
    <t>AUDRIE</t>
  </si>
  <si>
    <t>VAN VEEN</t>
  </si>
  <si>
    <t>AMSTERDAM INNOVATION MOTOR</t>
  </si>
  <si>
    <t xml:space="preserve">CORALIE </t>
  </si>
  <si>
    <t>VASQUES</t>
  </si>
  <si>
    <t>FESALUD</t>
  </si>
  <si>
    <t>HUGO</t>
  </si>
  <si>
    <t>VERCANTEREN</t>
  </si>
  <si>
    <t>ALAIN</t>
  </si>
  <si>
    <t>VERNEYDEN</t>
  </si>
  <si>
    <t>FRANCISCO</t>
  </si>
  <si>
    <t>VIGALONDO</t>
  </si>
  <si>
    <t>AREX RED ARAGON</t>
  </si>
  <si>
    <t xml:space="preserve">MILAN </t>
  </si>
  <si>
    <t>VOKOVIC</t>
  </si>
  <si>
    <t>MARIACARMALA</t>
  </si>
  <si>
    <t>VOZZO</t>
  </si>
  <si>
    <t>COPERATIONBANCAIREPOR L'EUROPE</t>
  </si>
  <si>
    <t>GEORGE</t>
  </si>
  <si>
    <t>WHALE</t>
  </si>
  <si>
    <t>CONSILIUM QUEEN MARY LONDON</t>
  </si>
  <si>
    <t>LOTTE</t>
  </si>
  <si>
    <t>WILMS</t>
  </si>
  <si>
    <t>NATIONAL LIBRARAY OF THE Netherlands</t>
  </si>
  <si>
    <t>SAMO</t>
  </si>
  <si>
    <t>ZORC</t>
  </si>
  <si>
    <t>MINISTRY OF HIGHER EDUCATION, SED ISCCE</t>
  </si>
  <si>
    <t>SLOVENIA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</si>
</sst>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1"/>
  <sheetViews>
    <sheetView tabSelected="1" workbookViewId="0" topLeftCell="A592">
      <selection activeCell="D602" sqref="D602"/>
    </sheetView>
  </sheetViews>
  <sheetFormatPr defaultColWidth="9.140625" defaultRowHeight="12.75"/>
  <cols>
    <col min="1" max="1" width="20.8515625" style="0" customWidth="1"/>
    <col min="2" max="2" width="25.8515625" style="0" customWidth="1"/>
    <col min="3" max="3" width="21.8515625" style="14" customWidth="1"/>
    <col min="4" max="4" width="18.57421875" style="0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tr">
        <f>"Karen"</f>
        <v>Karen</v>
      </c>
      <c r="B2" s="2" t="str">
        <f>"Abbatuan"</f>
        <v>Abbatuan</v>
      </c>
      <c r="C2" s="2" t="str">
        <f>"Microsoft"</f>
        <v>Microsoft</v>
      </c>
      <c r="D2" s="2" t="str">
        <f>"Belgium"</f>
        <v>Belgium</v>
      </c>
    </row>
    <row r="3" spans="1:4" ht="12.75">
      <c r="A3" s="3" t="s">
        <v>4</v>
      </c>
      <c r="B3" s="3" t="s">
        <v>5</v>
      </c>
      <c r="C3" s="12" t="s">
        <v>6</v>
      </c>
      <c r="D3" s="3"/>
    </row>
    <row r="4" spans="1:4" ht="12.75">
      <c r="A4" s="2" t="str">
        <f>"Sven"</f>
        <v>Sven</v>
      </c>
      <c r="B4" s="2" t="str">
        <f>"Abels"</f>
        <v>Abels</v>
      </c>
      <c r="C4" s="2" t="str">
        <f>"Ascora GmbH"</f>
        <v>Ascora GmbH</v>
      </c>
      <c r="D4" s="2" t="str">
        <f>"Germany"</f>
        <v>Germany</v>
      </c>
    </row>
    <row r="5" spans="1:4" ht="12.75">
      <c r="A5" s="2" t="str">
        <f>"Gelnta"</f>
        <v>Gelnta</v>
      </c>
      <c r="B5" s="2" t="str">
        <f>"Achmet Oglou"</f>
        <v>Achmet Oglou</v>
      </c>
      <c r="C5" s="2" t="str">
        <f>"Kecioren Municipality"</f>
        <v>Kecioren Municipality</v>
      </c>
      <c r="D5" s="2" t="str">
        <f>"Turkey"</f>
        <v>Turkey</v>
      </c>
    </row>
    <row r="6" spans="1:4" ht="12.75">
      <c r="A6" s="3" t="s">
        <v>7</v>
      </c>
      <c r="B6" s="3" t="s">
        <v>8</v>
      </c>
      <c r="C6" s="12" t="s">
        <v>9</v>
      </c>
      <c r="D6" s="3"/>
    </row>
    <row r="7" spans="1:4" ht="25.5">
      <c r="A7" s="2" t="str">
        <f>"Edwin"</f>
        <v>Edwin</v>
      </c>
      <c r="B7" s="2" t="str">
        <f>"Aelberts"</f>
        <v>Aelberts</v>
      </c>
      <c r="C7" s="2" t="str">
        <f>"Balance ervaring op Projectbasis BV"</f>
        <v>Balance ervaring op Projectbasis BV</v>
      </c>
      <c r="D7" s="2" t="str">
        <f>"Netherlands"</f>
        <v>Netherlands</v>
      </c>
    </row>
    <row r="8" spans="1:4" ht="12.75">
      <c r="A8" s="2" t="str">
        <f>"Annamaria"</f>
        <v>Annamaria</v>
      </c>
      <c r="B8" s="2" t="str">
        <f>"Agarini"</f>
        <v>Agarini</v>
      </c>
      <c r="C8" s="2" t="str">
        <f>"Municipality of Genoa"</f>
        <v>Municipality of Genoa</v>
      </c>
      <c r="D8" s="2" t="str">
        <f>"Italy"</f>
        <v>Italy</v>
      </c>
    </row>
    <row r="9" spans="1:4" ht="25.5">
      <c r="A9" s="2" t="str">
        <f>"Bodil"</f>
        <v>Bodil</v>
      </c>
      <c r="B9" s="2" t="str">
        <f>"Agasøster"</f>
        <v>Agasøster</v>
      </c>
      <c r="C9" s="2" t="str">
        <f>"South Norway European Office"</f>
        <v>South Norway European Office</v>
      </c>
      <c r="D9" s="2">
        <f>""</f>
      </c>
    </row>
    <row r="10" spans="1:4" ht="12.75">
      <c r="A10" s="2" t="str">
        <f>"Stefano"</f>
        <v>Stefano</v>
      </c>
      <c r="B10" s="2" t="str">
        <f>"Agnelli"</f>
        <v>Agnelli</v>
      </c>
      <c r="C10" s="2" t="str">
        <f>"Eutelsat"</f>
        <v>Eutelsat</v>
      </c>
      <c r="D10" s="2" t="str">
        <f>"France"</f>
        <v>France</v>
      </c>
    </row>
    <row r="11" spans="1:4" ht="25.5">
      <c r="A11" s="3" t="s">
        <v>10</v>
      </c>
      <c r="B11" s="3" t="s">
        <v>11</v>
      </c>
      <c r="C11" s="12" t="s">
        <v>12</v>
      </c>
      <c r="D11" s="3"/>
    </row>
    <row r="12" spans="1:4" ht="12.75">
      <c r="A12" s="2" t="str">
        <f>"Teresa"</f>
        <v>Teresa</v>
      </c>
      <c r="B12" s="2" t="str">
        <f>"Alamos"</f>
        <v>Alamos</v>
      </c>
      <c r="C12" s="2" t="str">
        <f>"Wellness Telecom"</f>
        <v>Wellness Telecom</v>
      </c>
      <c r="D12" s="2" t="str">
        <f>"Spain"</f>
        <v>Spain</v>
      </c>
    </row>
    <row r="13" spans="1:4" ht="25.5">
      <c r="A13" s="2" t="str">
        <f>"Sanna"</f>
        <v>Sanna</v>
      </c>
      <c r="B13" s="2" t="str">
        <f>"Alaranta"</f>
        <v>Alaranta</v>
      </c>
      <c r="C13" s="2" t="str">
        <f>"West Finland European Office"</f>
        <v>West Finland European Office</v>
      </c>
      <c r="D13" s="2" t="str">
        <f>"Belgium"</f>
        <v>Belgium</v>
      </c>
    </row>
    <row r="14" spans="1:4" ht="25.5">
      <c r="A14" s="2" t="str">
        <f>"FARIBA"</f>
        <v>FARIBA</v>
      </c>
      <c r="B14" s="2" t="str">
        <f>"ALIFARHANI"</f>
        <v>ALIFARHANI</v>
      </c>
      <c r="C14" s="2" t="str">
        <f>"ABADAN ENGINEERING"</f>
        <v>ABADAN ENGINEERING</v>
      </c>
      <c r="D14" s="2" t="str">
        <f>"France"</f>
        <v>France</v>
      </c>
    </row>
    <row r="15" spans="1:4" ht="12.75">
      <c r="A15" s="2" t="str">
        <f>"Oscar"</f>
        <v>Oscar</v>
      </c>
      <c r="B15" s="2" t="str">
        <f>"Altimira"</f>
        <v>Altimira</v>
      </c>
      <c r="C15" s="2" t="str">
        <f>"ACC10"</f>
        <v>ACC10</v>
      </c>
      <c r="D15" s="2" t="str">
        <f>"Spain"</f>
        <v>Spain</v>
      </c>
    </row>
    <row r="16" spans="1:4" ht="12.75">
      <c r="A16" s="2" t="str">
        <f>"murat"</f>
        <v>murat</v>
      </c>
      <c r="B16" s="2" t="str">
        <f>"altunbas"</f>
        <v>altunbas</v>
      </c>
      <c r="C16" s="2" t="str">
        <f>"City of Rotterdam"</f>
        <v>City of Rotterdam</v>
      </c>
      <c r="D16" s="2" t="str">
        <f>"Netherlands"</f>
        <v>Netherlands</v>
      </c>
    </row>
    <row r="17" spans="1:4" ht="63.75">
      <c r="A17" s="2" t="str">
        <f>"Marcos"</f>
        <v>Marcos</v>
      </c>
      <c r="B17" s="2" t="str">
        <f>"Alvarez-Diaz"</f>
        <v>Alvarez-Diaz</v>
      </c>
      <c r="C17" s="2" t="str">
        <f>"GRADIANT (Galician Research and Development Center in Advanced Communications)"</f>
        <v>GRADIANT (Galician Research and Development Center in Advanced Communications)</v>
      </c>
      <c r="D17" s="2" t="str">
        <f>"Spain"</f>
        <v>Spain</v>
      </c>
    </row>
    <row r="18" spans="1:4" ht="25.5">
      <c r="A18" s="2" t="str">
        <f>"FAUSTO"</f>
        <v>FAUSTO</v>
      </c>
      <c r="B18" s="2" t="str">
        <f>"AMATUZZO"</f>
        <v>AMATUZZO</v>
      </c>
      <c r="C18" s="2" t="str">
        <f>"BXL PUGLIA EUROPE ASBL"</f>
        <v>BXL PUGLIA EUROPE ASBL</v>
      </c>
      <c r="D18" s="2">
        <f>""</f>
      </c>
    </row>
    <row r="19" spans="1:4" ht="12.75">
      <c r="A19" s="2" t="str">
        <f>"Nicolas"</f>
        <v>Nicolas</v>
      </c>
      <c r="B19" s="2" t="str">
        <f>"AMBROISE"</f>
        <v>AMBROISE</v>
      </c>
      <c r="C19" s="2" t="str">
        <f>"ACTIMAGE"</f>
        <v>ACTIMAGE</v>
      </c>
      <c r="D19" s="2" t="str">
        <f>"Luxembourg"</f>
        <v>Luxembourg</v>
      </c>
    </row>
    <row r="20" spans="1:4" ht="25.5">
      <c r="A20" s="2" t="str">
        <f>"Denis"</f>
        <v>Denis</v>
      </c>
      <c r="B20" s="2" t="str">
        <f>"Amond"</f>
        <v>Amond</v>
      </c>
      <c r="C20" s="2" t="str">
        <f>"Italian Trade Commission"</f>
        <v>Italian Trade Commission</v>
      </c>
      <c r="D20" s="2" t="str">
        <f>"Belgium"</f>
        <v>Belgium</v>
      </c>
    </row>
    <row r="21" spans="1:4" ht="12.75">
      <c r="A21" s="2" t="str">
        <f>"Silvia"</f>
        <v>Silvia</v>
      </c>
      <c r="B21" s="2" t="str">
        <f>"Anastasia"</f>
        <v>Anastasia</v>
      </c>
      <c r="C21" s="2" t="str">
        <f>"Moverim"</f>
        <v>Moverim</v>
      </c>
      <c r="D21" s="2" t="str">
        <f>"Belgium"</f>
        <v>Belgium</v>
      </c>
    </row>
    <row r="22" spans="1:4" ht="12.75">
      <c r="A22" s="2" t="str">
        <f>"Tashweka"</f>
        <v>Tashweka</v>
      </c>
      <c r="B22" s="2" t="str">
        <f>"Anderson"</f>
        <v>Anderson</v>
      </c>
      <c r="C22" s="2" t="str">
        <f>"Anderson Brown Ltd"</f>
        <v>Anderson Brown Ltd</v>
      </c>
      <c r="D22" s="2" t="str">
        <f>"United Kingdom"</f>
        <v>United Kingdom</v>
      </c>
    </row>
    <row r="23" spans="1:4" ht="25.5">
      <c r="A23" s="2" t="str">
        <f>"Karl"</f>
        <v>Karl</v>
      </c>
      <c r="B23" s="2" t="str">
        <f>"Andersson"</f>
        <v>Andersson</v>
      </c>
      <c r="C23" s="2" t="str">
        <f>"Luleå Univeristy of Technology"</f>
        <v>Luleå Univeristy of Technology</v>
      </c>
      <c r="D23" s="2" t="str">
        <f>"Sweden"</f>
        <v>Sweden</v>
      </c>
    </row>
    <row r="24" spans="1:4" ht="12.75">
      <c r="A24" s="3" t="s">
        <v>13</v>
      </c>
      <c r="B24" s="3" t="s">
        <v>14</v>
      </c>
      <c r="C24" s="12" t="s">
        <v>15</v>
      </c>
      <c r="D24" s="3"/>
    </row>
    <row r="25" spans="1:4" ht="12.75">
      <c r="A25" s="2" t="str">
        <f>"Fabio"</f>
        <v>Fabio</v>
      </c>
      <c r="B25" s="2" t="str">
        <f>"Annibali"</f>
        <v>Annibali</v>
      </c>
      <c r="C25" s="2" t="str">
        <f>"Telespazio"</f>
        <v>Telespazio</v>
      </c>
      <c r="D25" s="2" t="str">
        <f>"Italy"</f>
        <v>Italy</v>
      </c>
    </row>
    <row r="26" spans="1:4" ht="12.75">
      <c r="A26" s="3" t="s">
        <v>16</v>
      </c>
      <c r="B26" s="3" t="s">
        <v>17</v>
      </c>
      <c r="C26" s="12" t="s">
        <v>18</v>
      </c>
      <c r="D26" s="3"/>
    </row>
    <row r="27" spans="1:4" ht="12.75">
      <c r="A27" s="2" t="str">
        <f>"Aurélie"</f>
        <v>Aurélie</v>
      </c>
      <c r="B27" s="2" t="str">
        <f>"Arliaud"</f>
        <v>Arliaud</v>
      </c>
      <c r="C27" s="2" t="str">
        <f>"VITAMIB"</f>
        <v>VITAMIB</v>
      </c>
      <c r="D27" s="2" t="str">
        <f>"France"</f>
        <v>France</v>
      </c>
    </row>
    <row r="28" spans="1:4" ht="12.75">
      <c r="A28" s="2" t="str">
        <f>"Daniel"</f>
        <v>Daniel</v>
      </c>
      <c r="B28" s="2" t="str">
        <f>"Arribas"</f>
        <v>Arribas</v>
      </c>
      <c r="C28" s="2" t="str">
        <f>"SafeView"</f>
        <v>SafeView</v>
      </c>
      <c r="D28" s="2" t="str">
        <f>"Spain"</f>
        <v>Spain</v>
      </c>
    </row>
    <row r="29" spans="1:4" ht="12.75">
      <c r="A29" s="2" t="str">
        <f>"Pablo"</f>
        <v>Pablo</v>
      </c>
      <c r="B29" s="2" t="str">
        <f>"Asbo"</f>
        <v>Asbo</v>
      </c>
      <c r="C29" s="2" t="str">
        <f>"Avisa Partners"</f>
        <v>Avisa Partners</v>
      </c>
      <c r="D29" s="2">
        <f>""</f>
      </c>
    </row>
    <row r="30" spans="1:4" ht="38.25">
      <c r="A30" s="2" t="str">
        <f>"Dario"</f>
        <v>Dario</v>
      </c>
      <c r="B30" s="2" t="str">
        <f>"Avallone"</f>
        <v>Avallone</v>
      </c>
      <c r="C30" s="2" t="str">
        <f>"Engineering Ingegneria Informatica S.p.A."</f>
        <v>Engineering Ingegneria Informatica S.p.A.</v>
      </c>
      <c r="D30" s="2" t="str">
        <f>"Italy"</f>
        <v>Italy</v>
      </c>
    </row>
    <row r="31" spans="1:4" ht="12.75">
      <c r="A31" s="2" t="str">
        <f>"Jānis"</f>
        <v>Jānis</v>
      </c>
      <c r="B31" s="2" t="str">
        <f>"Avotiņš"</f>
        <v>Avotiņš</v>
      </c>
      <c r="C31" s="2" t="str">
        <f>"Siinex Mobile"</f>
        <v>Siinex Mobile</v>
      </c>
      <c r="D31" s="2" t="str">
        <f>"Latvia"</f>
        <v>Latvia</v>
      </c>
    </row>
    <row r="32" spans="1:4" ht="12.75">
      <c r="A32" s="3" t="s">
        <v>19</v>
      </c>
      <c r="B32" s="3" t="s">
        <v>20</v>
      </c>
      <c r="C32" s="12" t="s">
        <v>21</v>
      </c>
      <c r="D32" s="3"/>
    </row>
    <row r="33" spans="1:4" ht="12.75">
      <c r="A33" s="3" t="s">
        <v>22</v>
      </c>
      <c r="B33" s="3" t="s">
        <v>23</v>
      </c>
      <c r="C33" s="12" t="s">
        <v>24</v>
      </c>
      <c r="D33" s="3"/>
    </row>
    <row r="34" spans="1:4" ht="12.75">
      <c r="A34" s="2" t="str">
        <f>"Mario"</f>
        <v>Mario</v>
      </c>
      <c r="B34" s="2" t="str">
        <f>"Aznar"</f>
        <v>Aznar</v>
      </c>
      <c r="C34" s="2" t="str">
        <f>"RTDI"</f>
        <v>RTDI</v>
      </c>
      <c r="D34" s="2" t="str">
        <f>"Spain"</f>
        <v>Spain</v>
      </c>
    </row>
    <row r="35" spans="1:4" ht="25.5">
      <c r="A35" s="2" t="str">
        <f>"David"</f>
        <v>David</v>
      </c>
      <c r="B35" s="2" t="str">
        <f>"Baglee"</f>
        <v>Baglee</v>
      </c>
      <c r="C35" s="2" t="str">
        <f>"University of Sunderland"</f>
        <v>University of Sunderland</v>
      </c>
      <c r="D35" s="2" t="str">
        <f>"United Kingdom"</f>
        <v>United Kingdom</v>
      </c>
    </row>
    <row r="36" spans="1:4" ht="12.75">
      <c r="A36" s="3" t="s">
        <v>25</v>
      </c>
      <c r="B36" s="3" t="s">
        <v>26</v>
      </c>
      <c r="C36" s="12"/>
      <c r="D36" s="3"/>
    </row>
    <row r="37" spans="1:4" ht="12.75">
      <c r="A37" s="2" t="str">
        <f>"Maria"</f>
        <v>Maria</v>
      </c>
      <c r="B37" s="2" t="str">
        <f>"Banu"</f>
        <v>Banu</v>
      </c>
      <c r="C37" s="2" t="str">
        <f>"SAGEM"</f>
        <v>SAGEM</v>
      </c>
      <c r="D37" s="2">
        <f>""</f>
      </c>
    </row>
    <row r="38" spans="1:4" ht="51">
      <c r="A38" s="4" t="s">
        <v>27</v>
      </c>
      <c r="B38" s="4" t="s">
        <v>28</v>
      </c>
      <c r="C38" s="5" t="s">
        <v>29</v>
      </c>
      <c r="D38" s="4"/>
    </row>
    <row r="39" spans="1:4" ht="12.75">
      <c r="A39" s="2" t="str">
        <f>"Eric"</f>
        <v>Eric</v>
      </c>
      <c r="B39" s="2" t="str">
        <f>"Barboux"</f>
        <v>Barboux</v>
      </c>
      <c r="C39" s="2" t="str">
        <f>"Project Education"</f>
        <v>Project Education</v>
      </c>
      <c r="D39" s="2" t="str">
        <f>"France"</f>
        <v>France</v>
      </c>
    </row>
    <row r="40" spans="1:4" ht="12.75">
      <c r="A40" s="2" t="str">
        <f>"Michele"</f>
        <v>Michele</v>
      </c>
      <c r="B40" s="2" t="str">
        <f>"Barghini"</f>
        <v>Barghini</v>
      </c>
      <c r="C40" s="2" t="str">
        <f>"Abstraqt srl"</f>
        <v>Abstraqt srl</v>
      </c>
      <c r="D40" s="2" t="str">
        <f>"Italy"</f>
        <v>Italy</v>
      </c>
    </row>
    <row r="41" spans="1:4" ht="12.75">
      <c r="A41" s="2" t="str">
        <f>"Yoram"</f>
        <v>Yoram</v>
      </c>
      <c r="B41" s="2" t="str">
        <f>"Bar-Zeev"</f>
        <v>Bar-Zeev</v>
      </c>
      <c r="C41" s="2" t="str">
        <f>"Beacon Tech Ltd."</f>
        <v>Beacon Tech Ltd.</v>
      </c>
      <c r="D41" s="2" t="str">
        <f>"Israel"</f>
        <v>Israel</v>
      </c>
    </row>
    <row r="42" spans="1:4" ht="12.75">
      <c r="A42" s="2" t="str">
        <f>"Maria Grazia"</f>
        <v>Maria Grazia</v>
      </c>
      <c r="B42" s="2" t="str">
        <f>"Basile"</f>
        <v>Basile</v>
      </c>
      <c r="C42" s="2" t="str">
        <f>"Regione Siciliana"</f>
        <v>Regione Siciliana</v>
      </c>
      <c r="D42" s="2" t="str">
        <f>"Italy"</f>
        <v>Italy</v>
      </c>
    </row>
    <row r="43" spans="1:4" ht="12.75">
      <c r="A43" s="3" t="s">
        <v>30</v>
      </c>
      <c r="B43" s="3" t="s">
        <v>31</v>
      </c>
      <c r="C43" s="12" t="s">
        <v>32</v>
      </c>
      <c r="D43" s="3"/>
    </row>
    <row r="44" spans="1:4" ht="12.75">
      <c r="A44" s="2" t="str">
        <f>"Yves"</f>
        <v>Yves</v>
      </c>
      <c r="B44" s="2" t="str">
        <f>"Bausch"</f>
        <v>Bausch</v>
      </c>
      <c r="C44" s="2" t="str">
        <f>"SES"</f>
        <v>SES</v>
      </c>
      <c r="D44" s="2" t="str">
        <f>"Luxembourg"</f>
        <v>Luxembourg</v>
      </c>
    </row>
    <row r="45" spans="1:4" ht="12.75">
      <c r="A45" s="2" t="str">
        <f>"Lucie"</f>
        <v>Lucie</v>
      </c>
      <c r="B45" s="2" t="str">
        <f>"Beaumel"</f>
        <v>Beaumel</v>
      </c>
      <c r="C45" s="2" t="str">
        <f>"Interface Europe"</f>
        <v>Interface Europe</v>
      </c>
      <c r="D45" s="2" t="str">
        <f>"Belgium"</f>
        <v>Belgium</v>
      </c>
    </row>
    <row r="46" spans="1:4" ht="25.5">
      <c r="A46" s="2" t="str">
        <f>"Ann"</f>
        <v>Ann</v>
      </c>
      <c r="B46" s="2" t="str">
        <f>"Becker"</f>
        <v>Becker</v>
      </c>
      <c r="C46" s="2" t="str">
        <f>"European Publishers Council"</f>
        <v>European Publishers Council</v>
      </c>
      <c r="D46" s="2">
        <f>""</f>
      </c>
    </row>
    <row r="47" spans="1:4" ht="38.25">
      <c r="A47" s="2" t="str">
        <f>"Roman"</f>
        <v>Roman</v>
      </c>
      <c r="B47" s="2" t="str">
        <f>"Behúl"</f>
        <v>Behúl</v>
      </c>
      <c r="C47" s="2" t="str">
        <f>"ATOS Slovensko, Eisteinova 11, 851 01 Bratislava"</f>
        <v>ATOS Slovensko, Eisteinova 11, 851 01 Bratislava</v>
      </c>
      <c r="D47" s="2" t="str">
        <f>"Slovakia"</f>
        <v>Slovakia</v>
      </c>
    </row>
    <row r="48" spans="1:4" ht="12.75">
      <c r="A48" s="2" t="str">
        <f>"Nora"</f>
        <v>Nora</v>
      </c>
      <c r="B48" s="2" t="str">
        <f>"BENHABILES"</f>
        <v>BENHABILES</v>
      </c>
      <c r="C48" s="2" t="str">
        <f>"CEA, List Institute"</f>
        <v>CEA, List Institute</v>
      </c>
      <c r="D48" s="2" t="str">
        <f>"France"</f>
        <v>France</v>
      </c>
    </row>
    <row r="49" spans="1:4" ht="12.75">
      <c r="A49" s="2" t="str">
        <f>"Helmut"</f>
        <v>Helmut</v>
      </c>
      <c r="B49" s="2" t="str">
        <f>"Berends"</f>
        <v>Berends</v>
      </c>
      <c r="C49" s="2" t="str">
        <f>"Berends-Consult"</f>
        <v>Berends-Consult</v>
      </c>
      <c r="D49" s="2" t="str">
        <f>"Germany"</f>
        <v>Germany</v>
      </c>
    </row>
    <row r="50" spans="1:4" ht="38.25">
      <c r="A50" s="2" t="str">
        <f>"Anne"</f>
        <v>Anne</v>
      </c>
      <c r="B50" s="2" t="str">
        <f>"Bergman-Tahon"</f>
        <v>Bergman-Tahon</v>
      </c>
      <c r="C50" s="2" t="str">
        <f>"Federation of EUROPEAN PUBLISHERS"</f>
        <v>Federation of EUROPEAN PUBLISHERS</v>
      </c>
      <c r="D50" s="2" t="str">
        <f>"Belgium"</f>
        <v>Belgium</v>
      </c>
    </row>
    <row r="51" spans="1:4" ht="12.75">
      <c r="A51" s="2" t="str">
        <f>"Birol"</f>
        <v>Birol</v>
      </c>
      <c r="B51" s="2" t="str">
        <f>"Berkem"</f>
        <v>Berkem</v>
      </c>
      <c r="C51" s="2" t="str">
        <f>"GooBiz"</f>
        <v>GooBiz</v>
      </c>
      <c r="D51" s="2" t="str">
        <f>"France"</f>
        <v>France</v>
      </c>
    </row>
    <row r="52" spans="1:4" ht="12.75">
      <c r="A52" s="3" t="s">
        <v>33</v>
      </c>
      <c r="B52" s="3" t="s">
        <v>34</v>
      </c>
      <c r="C52" s="12" t="s">
        <v>35</v>
      </c>
      <c r="D52" s="3"/>
    </row>
    <row r="53" spans="1:4" ht="12.75">
      <c r="A53" s="2" t="str">
        <f>"Judith"</f>
        <v>Judith</v>
      </c>
      <c r="B53" s="2" t="str">
        <f>"Beyeler"</f>
        <v>Beyeler</v>
      </c>
      <c r="C53" s="2" t="str">
        <f>"NCP-Wallonie"</f>
        <v>NCP-Wallonie</v>
      </c>
      <c r="D53" s="2" t="str">
        <f>"Belgium"</f>
        <v>Belgium</v>
      </c>
    </row>
    <row r="54" spans="1:4" ht="12.75">
      <c r="A54" s="2" t="str">
        <f>"francesca"</f>
        <v>francesca</v>
      </c>
      <c r="B54" s="2" t="str">
        <f>"biancheri"</f>
        <v>biancheri</v>
      </c>
      <c r="C54" s="2" t="str">
        <f>"Finlombarda"</f>
        <v>Finlombarda</v>
      </c>
      <c r="D54" s="2">
        <f>""</f>
      </c>
    </row>
    <row r="55" spans="1:4" ht="25.5">
      <c r="A55" s="2" t="str">
        <f>"Ewa"</f>
        <v>Ewa</v>
      </c>
      <c r="B55" s="2" t="str">
        <f>"Bloch"</f>
        <v>Bloch</v>
      </c>
      <c r="C55" s="2" t="str">
        <f>"West Midlands European Service"</f>
        <v>West Midlands European Service</v>
      </c>
      <c r="D55" s="2" t="str">
        <f>"United Kingdom"</f>
        <v>United Kingdom</v>
      </c>
    </row>
    <row r="56" spans="1:4" ht="25.5">
      <c r="A56" s="2" t="str">
        <f>"Jeremy"</f>
        <v>Jeremy</v>
      </c>
      <c r="B56" s="2" t="str">
        <f>"Boardman"</f>
        <v>Boardman</v>
      </c>
      <c r="C56" s="2" t="str">
        <f>"IEL Business Support ( Europe) Ltd"</f>
        <v>IEL Business Support ( Europe) Ltd</v>
      </c>
      <c r="D56" s="2" t="str">
        <f>"United Kingdom"</f>
        <v>United Kingdom</v>
      </c>
    </row>
    <row r="57" spans="1:4" ht="25.5">
      <c r="A57" s="2" t="str">
        <f>"Antoine"</f>
        <v>Antoine</v>
      </c>
      <c r="B57" s="2" t="str">
        <f>"BODIN"</f>
        <v>BODIN</v>
      </c>
      <c r="C57" s="2" t="str">
        <f>"École de la deuxième chance de Marseille"</f>
        <v>École de la deuxième chance de Marseille</v>
      </c>
      <c r="D57" s="2" t="str">
        <f>"France"</f>
        <v>France</v>
      </c>
    </row>
    <row r="58" spans="1:4" ht="25.5">
      <c r="A58" s="2" t="str">
        <f>"Manoela"</f>
        <v>Manoela</v>
      </c>
      <c r="B58" s="2" t="str">
        <f>"Bodiroza"</f>
        <v>Bodiroza</v>
      </c>
      <c r="C58" s="2" t="str">
        <f>"Bundesrechenzentrum GmbH"</f>
        <v>Bundesrechenzentrum GmbH</v>
      </c>
      <c r="D58" s="2" t="str">
        <f>"Austria"</f>
        <v>Austria</v>
      </c>
    </row>
    <row r="59" spans="1:4" ht="12.75">
      <c r="A59" s="2" t="str">
        <f>"Marco"</f>
        <v>Marco</v>
      </c>
      <c r="B59" s="2" t="str">
        <f>"Boero"</f>
        <v>Boero</v>
      </c>
      <c r="C59" s="2" t="str">
        <f>"Softeco Sismat SrL"</f>
        <v>Softeco Sismat SrL</v>
      </c>
      <c r="D59" s="2" t="str">
        <f>"Italy"</f>
        <v>Italy</v>
      </c>
    </row>
    <row r="60" spans="1:4" ht="12.75">
      <c r="A60" s="2" t="str">
        <f>"Andrea"</f>
        <v>Andrea</v>
      </c>
      <c r="B60" s="2" t="str">
        <f>"Boffi"</f>
        <v>Boffi</v>
      </c>
      <c r="C60" s="2" t="str">
        <f>"Studio Valla"</f>
        <v>Studio Valla</v>
      </c>
      <c r="D60" s="2" t="str">
        <f>"Italy"</f>
        <v>Italy</v>
      </c>
    </row>
    <row r="61" spans="1:4" ht="12.75">
      <c r="A61" s="2" t="str">
        <f>"Okke"</f>
        <v>Okke</v>
      </c>
      <c r="B61" s="2" t="str">
        <f>"Bogaerts"</f>
        <v>Bogaerts</v>
      </c>
      <c r="C61" s="2" t="str">
        <f>"NISE"</f>
        <v>NISE</v>
      </c>
      <c r="D61" s="2" t="str">
        <f>"Belgium"</f>
        <v>Belgium</v>
      </c>
    </row>
    <row r="62" spans="1:4" ht="12.75">
      <c r="A62" s="2" t="str">
        <f>"yves"</f>
        <v>yves</v>
      </c>
      <c r="B62" s="2" t="str">
        <f>"boisselier"</f>
        <v>boisselier</v>
      </c>
      <c r="C62" s="2" t="str">
        <f>"ACTIF-Europe"</f>
        <v>ACTIF-Europe</v>
      </c>
      <c r="D62" s="2" t="str">
        <f>"France"</f>
        <v>France</v>
      </c>
    </row>
    <row r="63" spans="1:4" ht="12.75">
      <c r="A63" s="2" t="str">
        <f>"Damiano"</f>
        <v>Damiano</v>
      </c>
      <c r="B63" s="2" t="str">
        <f>"Bolzoni"</f>
        <v>Bolzoni</v>
      </c>
      <c r="C63" s="2" t="str">
        <f>"University of Twente"</f>
        <v>University of Twente</v>
      </c>
      <c r="D63" s="2" t="str">
        <f>"Netherlands"</f>
        <v>Netherlands</v>
      </c>
    </row>
    <row r="64" spans="1:4" ht="12.75">
      <c r="A64" s="2" t="str">
        <f>"Cristina"</f>
        <v>Cristina</v>
      </c>
      <c r="B64" s="2" t="str">
        <f>"Bonafé"</f>
        <v>Bonafé</v>
      </c>
      <c r="C64" s="2" t="str">
        <f>"FOLKES"</f>
        <v>FOLKES</v>
      </c>
      <c r="D64" s="2" t="str">
        <f>"Malta"</f>
        <v>Malta</v>
      </c>
    </row>
    <row r="65" spans="1:4" ht="12.75">
      <c r="A65" s="6" t="s">
        <v>36</v>
      </c>
      <c r="B65" s="3" t="s">
        <v>37</v>
      </c>
      <c r="C65" s="12" t="s">
        <v>38</v>
      </c>
      <c r="D65" s="3"/>
    </row>
    <row r="66" spans="1:4" ht="12.75">
      <c r="A66" s="2" t="str">
        <f>"Elodie"</f>
        <v>Elodie</v>
      </c>
      <c r="B66" s="2" t="str">
        <f>"Bossio"</f>
        <v>Bossio</v>
      </c>
      <c r="C66" s="2" t="str">
        <f>"FEDARENE"</f>
        <v>FEDARENE</v>
      </c>
      <c r="D66" s="2" t="str">
        <f>"Belgium"</f>
        <v>Belgium</v>
      </c>
    </row>
    <row r="67" spans="1:4" ht="12.75">
      <c r="A67" s="2" t="str">
        <f>"Lluís"</f>
        <v>Lluís</v>
      </c>
      <c r="B67" s="2" t="str">
        <f>"Botifoll"</f>
        <v>Botifoll</v>
      </c>
      <c r="C67" s="2" t="str">
        <f>"BANTEC"</f>
        <v>BANTEC</v>
      </c>
      <c r="D67" s="2" t="str">
        <f>"Spain"</f>
        <v>Spain</v>
      </c>
    </row>
    <row r="68" spans="1:4" ht="38.25">
      <c r="A68" s="2" t="str">
        <f>"Valentina"</f>
        <v>Valentina</v>
      </c>
      <c r="B68" s="2" t="str">
        <f>"Bottarelli"</f>
        <v>Bottarelli</v>
      </c>
      <c r="C68" s="2" t="str">
        <f>"EURORDIS European Organisation for Rare Diseases"</f>
        <v>EURORDIS European Organisation for Rare Diseases</v>
      </c>
      <c r="D68" s="2">
        <f>""</f>
      </c>
    </row>
    <row r="69" spans="1:4" ht="38.25">
      <c r="A69" s="2" t="str">
        <f>"Elisabeth"</f>
        <v>Elisabeth</v>
      </c>
      <c r="B69" s="2" t="str">
        <f>"Bougeois"</f>
        <v>Bougeois</v>
      </c>
      <c r="C69" s="2" t="str">
        <f>"Bureau Bourgogne Franche-Comté Europe"</f>
        <v>Bureau Bourgogne Franche-Comté Europe</v>
      </c>
      <c r="D69" s="2" t="str">
        <f>"France"</f>
        <v>France</v>
      </c>
    </row>
    <row r="70" spans="1:4" ht="25.5">
      <c r="A70" s="2" t="str">
        <f>"Eleni"</f>
        <v>Eleni</v>
      </c>
      <c r="B70" s="2" t="str">
        <f>"Boulomyti"</f>
        <v>Boulomyti</v>
      </c>
      <c r="C70" s="2" t="str">
        <f>"Europe for Business ltd"</f>
        <v>Europe for Business ltd</v>
      </c>
      <c r="D70" s="2" t="str">
        <f>"United Kingdom"</f>
        <v>United Kingdom</v>
      </c>
    </row>
    <row r="71" spans="1:4" ht="12.75">
      <c r="A71" s="3" t="s">
        <v>39</v>
      </c>
      <c r="B71" s="3" t="s">
        <v>40</v>
      </c>
      <c r="C71" s="12" t="s">
        <v>41</v>
      </c>
      <c r="D71" s="3"/>
    </row>
    <row r="72" spans="1:4" ht="25.5">
      <c r="A72" s="4" t="s">
        <v>42</v>
      </c>
      <c r="B72" s="4" t="s">
        <v>43</v>
      </c>
      <c r="C72" s="5" t="s">
        <v>44</v>
      </c>
      <c r="D72" s="4"/>
    </row>
    <row r="73" spans="1:4" ht="12.75">
      <c r="A73" s="3" t="s">
        <v>45</v>
      </c>
      <c r="B73" s="3" t="s">
        <v>46</v>
      </c>
      <c r="C73" s="12" t="s">
        <v>47</v>
      </c>
      <c r="D73" s="3"/>
    </row>
    <row r="74" spans="1:4" ht="25.5">
      <c r="A74" s="2" t="str">
        <f>"Antonio"</f>
        <v>Antonio</v>
      </c>
      <c r="B74" s="2" t="str">
        <f>"Bove"</f>
        <v>Bove</v>
      </c>
      <c r="C74" s="2" t="str">
        <f>"SES Broadband Services"</f>
        <v>SES Broadband Services</v>
      </c>
      <c r="D74" s="2" t="str">
        <f>"Luxembourg"</f>
        <v>Luxembourg</v>
      </c>
    </row>
    <row r="75" spans="1:4" ht="25.5">
      <c r="A75" s="2" t="str">
        <f>"ERCAN"</f>
        <v>ERCAN</v>
      </c>
      <c r="B75" s="2" t="str">
        <f>"BOYAR"</f>
        <v>BOYAR</v>
      </c>
      <c r="C75" s="2" t="str">
        <f>"T.R. MINISTRY OF DEVELOPMENT"</f>
        <v>T.R. MINISTRY OF DEVELOPMENT</v>
      </c>
      <c r="D75" s="2" t="str">
        <f>"Turkey"</f>
        <v>Turkey</v>
      </c>
    </row>
    <row r="76" spans="1:4" ht="12.75">
      <c r="A76" s="2" t="str">
        <f>"Farha"</f>
        <v>Farha</v>
      </c>
      <c r="B76" s="2" t="str">
        <f>"Brahmi"</f>
        <v>Brahmi</v>
      </c>
      <c r="C76" s="2" t="str">
        <f>"Invest NI"</f>
        <v>Invest NI</v>
      </c>
      <c r="D76" s="2" t="str">
        <f>"United Kingdom"</f>
        <v>United Kingdom</v>
      </c>
    </row>
    <row r="77" spans="1:4" ht="12.75">
      <c r="A77" s="2" t="str">
        <f>"Filipa"</f>
        <v>Filipa</v>
      </c>
      <c r="B77" s="2" t="str">
        <f>"Brigola"</f>
        <v>Brigola</v>
      </c>
      <c r="C77" s="2" t="str">
        <f>"Eupportunity"</f>
        <v>Eupportunity</v>
      </c>
      <c r="D77" s="2" t="str">
        <f>"Portugal"</f>
        <v>Portugal</v>
      </c>
    </row>
    <row r="78" spans="1:4" ht="12.75">
      <c r="A78" s="2" t="str">
        <f>"Eelco"</f>
        <v>Eelco</v>
      </c>
      <c r="B78" s="2" t="str">
        <f>"Bruinsma"</f>
        <v>Bruinsma</v>
      </c>
      <c r="C78" s="2" t="str">
        <f>"ABCultuur vof"</f>
        <v>ABCultuur vof</v>
      </c>
      <c r="D78" s="2" t="str">
        <f>"Netherlands"</f>
        <v>Netherlands</v>
      </c>
    </row>
    <row r="79" spans="1:4" ht="12.75">
      <c r="A79" s="2" t="str">
        <f>"Crispo"</f>
        <v>Crispo</v>
      </c>
      <c r="B79" s="2" t="str">
        <f>"Bruno"</f>
        <v>Bruno</v>
      </c>
      <c r="C79" s="2" t="str">
        <f>"Universita di Trento"</f>
        <v>Universita di Trento</v>
      </c>
      <c r="D79" s="2" t="str">
        <f>"Italy"</f>
        <v>Italy</v>
      </c>
    </row>
    <row r="80" spans="1:4" ht="12.75">
      <c r="A80" s="2" t="str">
        <f>"Erik"</f>
        <v>Erik</v>
      </c>
      <c r="B80" s="2" t="str">
        <f>"Buelinckx"</f>
        <v>Buelinckx</v>
      </c>
      <c r="C80" s="2" t="str">
        <f>"KIK-IRPA"</f>
        <v>KIK-IRPA</v>
      </c>
      <c r="D80" s="2" t="str">
        <f>"Belgium"</f>
        <v>Belgium</v>
      </c>
    </row>
    <row r="81" spans="1:4" ht="76.5">
      <c r="A81" s="2" t="str">
        <f>"Massimo"</f>
        <v>Massimo</v>
      </c>
      <c r="B81" s="2" t="str">
        <f>"Busuoli"</f>
        <v>Busuoli</v>
      </c>
      <c r="C81" s="2" t="str">
        <f>"ENEA Italian National Agency for New Technologies, Energy and Sustainable Economic Develpment"</f>
        <v>ENEA Italian National Agency for New Technologies, Energy and Sustainable Economic Develpment</v>
      </c>
      <c r="D81" s="2" t="str">
        <f>"Belgium"</f>
        <v>Belgium</v>
      </c>
    </row>
    <row r="82" spans="1:4" ht="12.75">
      <c r="A82" s="2" t="str">
        <f>"Stuart"</f>
        <v>Stuart</v>
      </c>
      <c r="B82" s="2" t="str">
        <f>"Campbell"</f>
        <v>Campbell</v>
      </c>
      <c r="C82" s="2" t="str">
        <f>"TIE"</f>
        <v>TIE</v>
      </c>
      <c r="D82" s="2" t="str">
        <f>"Netherlands"</f>
        <v>Netherlands</v>
      </c>
    </row>
    <row r="83" spans="1:4" ht="12.75">
      <c r="A83" s="3" t="s">
        <v>48</v>
      </c>
      <c r="B83" s="3" t="s">
        <v>49</v>
      </c>
      <c r="C83" s="12" t="s">
        <v>50</v>
      </c>
      <c r="D83" s="3"/>
    </row>
    <row r="84" spans="1:4" ht="51">
      <c r="A84" s="2" t="str">
        <f>"Ignacio"</f>
        <v>Ignacio</v>
      </c>
      <c r="B84" s="2" t="str">
        <f>"Caño Luna"</f>
        <v>Caño Luna</v>
      </c>
      <c r="C84" s="2" t="str">
        <f>"National Institute of Communication Technologies (INTECO)"</f>
        <v>National Institute of Communication Technologies (INTECO)</v>
      </c>
      <c r="D84" s="2" t="str">
        <f>"Spain"</f>
        <v>Spain</v>
      </c>
    </row>
    <row r="85" spans="1:4" ht="38.25">
      <c r="A85" s="2" t="str">
        <f>"Martin"</f>
        <v>Martin</v>
      </c>
      <c r="B85" s="2" t="str">
        <f>"Cantor"</f>
        <v>Cantor</v>
      </c>
      <c r="C85" s="2" t="str">
        <f>"South Yorkshire Public Sector e-Forum"</f>
        <v>South Yorkshire Public Sector e-Forum</v>
      </c>
      <c r="D85" s="2" t="str">
        <f>"United Kingdom"</f>
        <v>United Kingdom</v>
      </c>
    </row>
    <row r="86" spans="1:4" ht="51">
      <c r="A86" s="2" t="str">
        <f>"Jesus"</f>
        <v>Jesus</v>
      </c>
      <c r="B86" s="2" t="str">
        <f>"Carbajosa"</f>
        <v>Carbajosa</v>
      </c>
      <c r="C86" s="2" t="str">
        <f>"CIMNE ( International Center for Numerical Methods in Engineerig)"</f>
        <v>CIMNE ( International Center for Numerical Methods in Engineerig)</v>
      </c>
      <c r="D86" s="2" t="str">
        <f>"Spain"</f>
        <v>Spain</v>
      </c>
    </row>
    <row r="87" spans="1:4" ht="12.75">
      <c r="A87" s="2" t="str">
        <f>"Josep"</f>
        <v>Josep</v>
      </c>
      <c r="B87" s="2" t="str">
        <f>"Carbó"</f>
        <v>Carbó</v>
      </c>
      <c r="C87" s="2" t="str">
        <f>"Accenture"</f>
        <v>Accenture</v>
      </c>
      <c r="D87" s="2">
        <f>""</f>
      </c>
    </row>
    <row r="88" spans="1:4" ht="12.75">
      <c r="A88" s="2" t="str">
        <f>"Florian"</f>
        <v>Florian</v>
      </c>
      <c r="B88" s="2" t="str">
        <f>"CARRE"</f>
        <v>CARRE</v>
      </c>
      <c r="C88" s="2" t="str">
        <f>"Pole Mer PACA"</f>
        <v>Pole Mer PACA</v>
      </c>
      <c r="D88" s="2" t="str">
        <f>"France"</f>
        <v>France</v>
      </c>
    </row>
    <row r="89" spans="1:4" ht="25.5">
      <c r="A89" s="3" t="s">
        <v>51</v>
      </c>
      <c r="B89" s="3" t="s">
        <v>52</v>
      </c>
      <c r="C89" s="12" t="s">
        <v>53</v>
      </c>
      <c r="D89" s="3"/>
    </row>
    <row r="90" spans="1:4" ht="12.75">
      <c r="A90" s="2" t="str">
        <f>"Juan Carlos"</f>
        <v>Juan Carlos</v>
      </c>
      <c r="B90" s="2" t="str">
        <f>"Castro"</f>
        <v>Castro</v>
      </c>
      <c r="C90" s="2" t="str">
        <f>"i2Cat Foundation"</f>
        <v>i2Cat Foundation</v>
      </c>
      <c r="D90" s="2" t="str">
        <f>"Spain"</f>
        <v>Spain</v>
      </c>
    </row>
    <row r="91" spans="1:4" ht="12.75">
      <c r="A91" s="3" t="s">
        <v>54</v>
      </c>
      <c r="B91" s="3" t="s">
        <v>55</v>
      </c>
      <c r="C91" s="12" t="s">
        <v>56</v>
      </c>
      <c r="D91" s="3"/>
    </row>
    <row r="92" spans="1:4" ht="12.75">
      <c r="A92" s="2" t="str">
        <f>"Maurizio"</f>
        <v>Maurizio</v>
      </c>
      <c r="B92" s="2" t="str">
        <f>"Cecchi"</f>
        <v>Cecchi</v>
      </c>
      <c r="C92" s="2" t="str">
        <f>"Telecom Italia"</f>
        <v>Telecom Italia</v>
      </c>
      <c r="D92" s="2" t="str">
        <f>"Italy"</f>
        <v>Italy</v>
      </c>
    </row>
    <row r="93" spans="1:4" ht="25.5">
      <c r="A93" s="2" t="str">
        <f>"Inge"</f>
        <v>Inge</v>
      </c>
      <c r="B93" s="2" t="str">
        <f>"Ceuppens"</f>
        <v>Ceuppens</v>
      </c>
      <c r="C93" s="2" t="str">
        <f>"European Defence Agency"</f>
        <v>European Defence Agency</v>
      </c>
      <c r="D93" s="2" t="str">
        <f>"Belgium"</f>
        <v>Belgium</v>
      </c>
    </row>
    <row r="94" spans="1:4" ht="25.5">
      <c r="A94" s="2" t="str">
        <f>"Aggelos"</f>
        <v>Aggelos</v>
      </c>
      <c r="B94" s="2" t="str">
        <f>"Charlaftis"</f>
        <v>Charlaftis</v>
      </c>
      <c r="C94" s="2" t="str">
        <f>"EPAPHOS ADVISORS teamwork"</f>
        <v>EPAPHOS ADVISORS teamwork</v>
      </c>
      <c r="D94" s="2" t="str">
        <f>"Belgium"</f>
        <v>Belgium</v>
      </c>
    </row>
    <row r="95" spans="1:4" ht="38.25">
      <c r="A95" s="2" t="str">
        <f>"Emma"</f>
        <v>Emma</v>
      </c>
      <c r="B95" s="2" t="str">
        <f>"Cheshire"</f>
        <v>Cheshire</v>
      </c>
      <c r="C95" s="2" t="str">
        <f>"Sheffield Collaboration Network"</f>
        <v>Sheffield Collaboration Network</v>
      </c>
      <c r="D95" s="2" t="str">
        <f>"United Kingdom"</f>
        <v>United Kingdom</v>
      </c>
    </row>
    <row r="96" spans="1:4" ht="12.75">
      <c r="A96" s="2" t="str">
        <f>"Roberto"</f>
        <v>Roberto</v>
      </c>
      <c r="B96" s="2" t="str">
        <f>"Chincarini"</f>
        <v>Chincarini</v>
      </c>
      <c r="C96" s="2" t="str">
        <f>"European Commission"</f>
        <v>European Commission</v>
      </c>
      <c r="D96" s="2" t="str">
        <f>"Belgium"</f>
        <v>Belgium</v>
      </c>
    </row>
    <row r="97" spans="1:4" ht="12.75">
      <c r="A97" s="3" t="s">
        <v>57</v>
      </c>
      <c r="B97" s="3" t="s">
        <v>58</v>
      </c>
      <c r="C97" s="12" t="s">
        <v>59</v>
      </c>
      <c r="D97" s="3"/>
    </row>
    <row r="98" spans="1:4" ht="25.5">
      <c r="A98" s="2" t="str">
        <f>"Chryso"</f>
        <v>Chryso</v>
      </c>
      <c r="B98" s="2" t="str">
        <f>"Christodoulou"</f>
        <v>Christodoulou</v>
      </c>
      <c r="C98" s="2" t="str">
        <f>"Digipro Computer Consulants Ltd"</f>
        <v>Digipro Computer Consulants Ltd</v>
      </c>
      <c r="D98" s="2" t="str">
        <f>"Cyprus"</f>
        <v>Cyprus</v>
      </c>
    </row>
    <row r="99" spans="1:4" ht="12.75">
      <c r="A99" s="2" t="str">
        <f>"Catherine"</f>
        <v>Catherine</v>
      </c>
      <c r="B99" s="2" t="str">
        <f>"Chronaki"</f>
        <v>Chronaki</v>
      </c>
      <c r="C99" s="2" t="str">
        <f>"FORTH"</f>
        <v>FORTH</v>
      </c>
      <c r="D99" s="2" t="str">
        <f>"Greece"</f>
        <v>Greece</v>
      </c>
    </row>
    <row r="100" spans="1:4" ht="25.5">
      <c r="A100" s="2" t="str">
        <f>"Ieva"</f>
        <v>Ieva</v>
      </c>
      <c r="B100" s="2" t="str">
        <f>"Cire"</f>
        <v>Cire</v>
      </c>
      <c r="C100" s="2" t="str">
        <f>"Ministry of Culture of Republic of Latvia"</f>
        <v>Ministry of Culture of Republic of Latvia</v>
      </c>
      <c r="D100" s="2" t="str">
        <f>"Latvia"</f>
        <v>Latvia</v>
      </c>
    </row>
    <row r="101" spans="1:4" ht="38.25">
      <c r="A101" s="2" t="str">
        <f>"Dominic"</f>
        <v>Dominic</v>
      </c>
      <c r="B101" s="2" t="str">
        <f>"Clark"</f>
        <v>Clark</v>
      </c>
      <c r="C101" s="2" t="str">
        <f>"EMBL-The European Bioinformatics Institute"</f>
        <v>EMBL-The European Bioinformatics Institute</v>
      </c>
      <c r="D101" s="2" t="str">
        <f>"United Kingdom"</f>
        <v>United Kingdom</v>
      </c>
    </row>
    <row r="102" spans="1:4" ht="12.75">
      <c r="A102" s="2" t="str">
        <f>"Guy"</f>
        <v>Guy</v>
      </c>
      <c r="B102" s="2" t="str">
        <f>"Cochrane"</f>
        <v>Cochrane</v>
      </c>
      <c r="C102" s="2" t="str">
        <f>"EMBL-EBI"</f>
        <v>EMBL-EBI</v>
      </c>
      <c r="D102" s="2">
        <f>""</f>
      </c>
    </row>
    <row r="103" spans="1:4" ht="12.75">
      <c r="A103" s="2" t="str">
        <f>"Walter"</f>
        <v>Walter</v>
      </c>
      <c r="B103" s="2" t="str">
        <f>"Colitti"</f>
        <v>Colitti</v>
      </c>
      <c r="C103" s="2" t="str">
        <f>"INXITION"</f>
        <v>INXITION</v>
      </c>
      <c r="D103" s="2" t="str">
        <f>"Italy"</f>
        <v>Italy</v>
      </c>
    </row>
    <row r="104" spans="1:4" ht="12.75">
      <c r="A104" s="2" t="str">
        <f>"Pierre"</f>
        <v>Pierre</v>
      </c>
      <c r="B104" s="2" t="str">
        <f>"Collin"</f>
        <v>Collin</v>
      </c>
      <c r="C104" s="2" t="str">
        <f>"Cluster TWIST"</f>
        <v>Cluster TWIST</v>
      </c>
      <c r="D104" s="2" t="str">
        <f>"Belgium"</f>
        <v>Belgium</v>
      </c>
    </row>
    <row r="105" spans="1:4" ht="38.25">
      <c r="A105" s="3" t="s">
        <v>7</v>
      </c>
      <c r="B105" s="3" t="s">
        <v>60</v>
      </c>
      <c r="C105" s="12" t="s">
        <v>61</v>
      </c>
      <c r="D105" s="3"/>
    </row>
    <row r="106" spans="1:4" ht="12.75">
      <c r="A106" s="2" t="str">
        <f>"Pascal"</f>
        <v>Pascal</v>
      </c>
      <c r="B106" s="2" t="str">
        <f>"Coorevits"</f>
        <v>Coorevits</v>
      </c>
      <c r="C106" s="2" t="str">
        <f>"EuroRec"</f>
        <v>EuroRec</v>
      </c>
      <c r="D106" s="2" t="str">
        <f>"Belgium"</f>
        <v>Belgium</v>
      </c>
    </row>
    <row r="107" spans="1:4" ht="12.75">
      <c r="A107" s="2" t="str">
        <f>"Sergio"</f>
        <v>Sergio</v>
      </c>
      <c r="B107" s="2" t="str">
        <f>"Copelli"</f>
        <v>Copelli</v>
      </c>
      <c r="C107" s="2" t="str">
        <f>"R&amp;S INFO"</f>
        <v>R&amp;S INFO</v>
      </c>
      <c r="D107" s="2" t="str">
        <f>"Italy"</f>
        <v>Italy</v>
      </c>
    </row>
    <row r="108" spans="1:4" ht="12.75">
      <c r="A108" s="2" t="str">
        <f>"Goretti"</f>
        <v>Goretti</v>
      </c>
      <c r="B108" s="2" t="str">
        <f>"Cortina"</f>
        <v>Cortina</v>
      </c>
      <c r="C108" s="2" t="str">
        <f>"ADS Insight"</f>
        <v>ADS Insight</v>
      </c>
      <c r="D108" s="2">
        <f>""</f>
      </c>
    </row>
    <row r="109" spans="1:4" ht="12.75">
      <c r="A109" s="2" t="str">
        <f>"Ruben"</f>
        <v>Ruben</v>
      </c>
      <c r="B109" s="2" t="str">
        <f>"Costa"</f>
        <v>Costa</v>
      </c>
      <c r="C109" s="2" t="str">
        <f>"UNINOVA"</f>
        <v>UNINOVA</v>
      </c>
      <c r="D109" s="2" t="str">
        <f>"Portugal"</f>
        <v>Portugal</v>
      </c>
    </row>
    <row r="110" spans="1:4" ht="12.75">
      <c r="A110" s="2" t="str">
        <f>"Pascal"</f>
        <v>Pascal</v>
      </c>
      <c r="B110" s="2" t="str">
        <f>"Craeye"</f>
        <v>Craeye</v>
      </c>
      <c r="C110" s="2" t="str">
        <f>"KlasCement.net"</f>
        <v>KlasCement.net</v>
      </c>
      <c r="D110" s="2" t="str">
        <f>"Belgium"</f>
        <v>Belgium</v>
      </c>
    </row>
    <row r="111" spans="1:4" ht="63.75">
      <c r="A111" s="2" t="str">
        <f>"SERGIO"</f>
        <v>SERGIO</v>
      </c>
      <c r="B111" s="2" t="str">
        <f>"CRESPO GINÉS"</f>
        <v>CRESPO GINÉS</v>
      </c>
      <c r="C111" s="2" t="str">
        <f>"FEPORTS - FUNDACIÓN COMUNIDAD VALENCIANA REGIÓN EUROPEA"</f>
        <v>FEPORTS - FUNDACIÓN COMUNIDAD VALENCIANA REGIÓN EUROPEA</v>
      </c>
      <c r="D111" s="2" t="str">
        <f>"Spain"</f>
        <v>Spain</v>
      </c>
    </row>
    <row r="112" spans="1:4" ht="12.75">
      <c r="A112" s="2" t="str">
        <f>"Gaelle"</f>
        <v>Gaelle</v>
      </c>
      <c r="B112" s="2" t="str">
        <f>"Croisier"</f>
        <v>Croisier</v>
      </c>
      <c r="C112" s="2" t="str">
        <f>"British Council"</f>
        <v>British Council</v>
      </c>
      <c r="D112" s="2">
        <f>""</f>
      </c>
    </row>
    <row r="113" spans="1:4" ht="25.5">
      <c r="A113" s="2" t="str">
        <f>"David"</f>
        <v>David</v>
      </c>
      <c r="B113" s="2" t="str">
        <f>"Crombie"</f>
        <v>Crombie</v>
      </c>
      <c r="C113" s="2" t="str">
        <f>"Utrecht School of the Arts"</f>
        <v>Utrecht School of the Arts</v>
      </c>
      <c r="D113" s="2" t="str">
        <f>"Netherlands"</f>
        <v>Netherlands</v>
      </c>
    </row>
    <row r="114" spans="1:4" ht="38.25">
      <c r="A114" s="2" t="str">
        <f>"Ana"</f>
        <v>Ana</v>
      </c>
      <c r="B114" s="2" t="str">
        <f>"Cuadrado"</f>
        <v>Cuadrado</v>
      </c>
      <c r="C114" s="2" t="str">
        <f>"Regional Government of Castilla and León - ADEuropa Foundation"</f>
        <v>Regional Government of Castilla and León - ADEuropa Foundation</v>
      </c>
      <c r="D114" s="2" t="str">
        <f>"Spain"</f>
        <v>Spain</v>
      </c>
    </row>
    <row r="115" spans="1:4" ht="63.75">
      <c r="A115" s="2" t="str">
        <f>"BRANKA"</f>
        <v>BRANKA</v>
      </c>
      <c r="B115" s="2" t="str">
        <f>"CUCA"</f>
        <v>CUCA</v>
      </c>
      <c r="C115" s="2" t="str">
        <f>"Politecnico di Milano - BEST Department, Representative Office in Brussels c/o Casa della Lombardia"</f>
        <v>Politecnico di Milano - BEST Department, Representative Office in Brussels c/o Casa della Lombardia</v>
      </c>
      <c r="D115" s="2" t="str">
        <f>"Belgium"</f>
        <v>Belgium</v>
      </c>
    </row>
    <row r="116" spans="1:4" ht="25.5">
      <c r="A116" s="2" t="str">
        <f>"Andjelija"</f>
        <v>Andjelija</v>
      </c>
      <c r="B116" s="2" t="str">
        <f>"Cvetic"</f>
        <v>Cvetic</v>
      </c>
      <c r="C116" s="2" t="str">
        <f>"Municipality of Pancevo"</f>
        <v>Municipality of Pancevo</v>
      </c>
      <c r="D116" s="2" t="str">
        <f>"Serbia"</f>
        <v>Serbia</v>
      </c>
    </row>
    <row r="117" spans="1:4" ht="38.25">
      <c r="A117" s="2" t="str">
        <f>"Agnieszka"</f>
        <v>Agnieszka</v>
      </c>
      <c r="B117" s="2" t="str">
        <f>"Czupryniak"</f>
        <v>Czupryniak</v>
      </c>
      <c r="C117" s="2" t="str">
        <f>"Institute of Physiology and Pathology of Hearing"</f>
        <v>Institute of Physiology and Pathology of Hearing</v>
      </c>
      <c r="D117" s="2" t="str">
        <f>"Poland"</f>
        <v>Poland</v>
      </c>
    </row>
    <row r="118" spans="1:4" ht="25.5">
      <c r="A118" s="2" t="str">
        <f>"Christiane"</f>
        <v>Christiane</v>
      </c>
      <c r="B118" s="2" t="str">
        <f>"DAEM"</f>
        <v>DAEM</v>
      </c>
      <c r="C118" s="2" t="str">
        <f>"IRELAC (former CERCAL)"</f>
        <v>IRELAC (former CERCAL)</v>
      </c>
      <c r="D118" s="2" t="str">
        <f>"Belgium"</f>
        <v>Belgium</v>
      </c>
    </row>
    <row r="119" spans="1:4" ht="12.75">
      <c r="A119" s="3" t="s">
        <v>62</v>
      </c>
      <c r="B119" s="3" t="s">
        <v>63</v>
      </c>
      <c r="C119" s="12" t="s">
        <v>64</v>
      </c>
      <c r="D119" s="3"/>
    </row>
    <row r="120" spans="1:4" ht="25.5">
      <c r="A120" s="3" t="s">
        <v>65</v>
      </c>
      <c r="B120" s="3" t="s">
        <v>66</v>
      </c>
      <c r="C120" s="12" t="s">
        <v>67</v>
      </c>
      <c r="D120" s="3"/>
    </row>
    <row r="121" spans="1:4" ht="12.75">
      <c r="A121" s="2" t="str">
        <f>"stephane"</f>
        <v>stephane</v>
      </c>
      <c r="B121" s="2" t="str">
        <f>"dana"</f>
        <v>dana</v>
      </c>
      <c r="C121" s="2" t="str">
        <f>"netec"</f>
        <v>netec</v>
      </c>
      <c r="D121" s="2" t="str">
        <f>"Belgium"</f>
        <v>Belgium</v>
      </c>
    </row>
    <row r="122" spans="1:4" ht="25.5">
      <c r="A122" s="2" t="str">
        <f>"Marco"</f>
        <v>Marco</v>
      </c>
      <c r="B122" s="2" t="str">
        <f>"d'Angelantonio"</f>
        <v>d'Angelantonio</v>
      </c>
      <c r="C122" s="2" t="str">
        <f>"Health Information Management SA"</f>
        <v>Health Information Management SA</v>
      </c>
      <c r="D122" s="2" t="str">
        <f>"Belgium"</f>
        <v>Belgium</v>
      </c>
    </row>
    <row r="123" spans="1:4" ht="12.75">
      <c r="A123" s="2" t="str">
        <f>"Anilkumar"</f>
        <v>Anilkumar</v>
      </c>
      <c r="B123" s="2" t="str">
        <f>"Dave"</f>
        <v>Dave</v>
      </c>
      <c r="C123" s="2" t="str">
        <f>"Treviso Tecnologia"</f>
        <v>Treviso Tecnologia</v>
      </c>
      <c r="D123" s="2" t="str">
        <f>"Italy"</f>
        <v>Italy</v>
      </c>
    </row>
    <row r="124" spans="1:4" ht="12.75">
      <c r="A124" s="2" t="str">
        <f>"Marco"</f>
        <v>Marco</v>
      </c>
      <c r="B124" s="2" t="str">
        <f>"Davids"</f>
        <v>Davids</v>
      </c>
      <c r="C124" s="2" t="str">
        <f>"SIDN"</f>
        <v>SIDN</v>
      </c>
      <c r="D124" s="2" t="str">
        <f>"Netherlands"</f>
        <v>Netherlands</v>
      </c>
    </row>
    <row r="125" spans="1:4" ht="25.5">
      <c r="A125" s="2" t="str">
        <f>"Esther"</f>
        <v>Esther</v>
      </c>
      <c r="B125" s="2" t="str">
        <f>"Davidsen"</f>
        <v>Davidsen</v>
      </c>
      <c r="C125" s="2" t="str">
        <f>"ZealandDenmark EU Office"</f>
        <v>ZealandDenmark EU Office</v>
      </c>
      <c r="D125" s="2" t="str">
        <f>"Denmark"</f>
        <v>Denmark</v>
      </c>
    </row>
    <row r="126" spans="1:4" ht="12.75">
      <c r="A126" s="2" t="str">
        <f>"Iacopo"</f>
        <v>Iacopo</v>
      </c>
      <c r="B126" s="2" t="str">
        <f>"De Angelis"</f>
        <v>De Angelis</v>
      </c>
      <c r="C126" s="2" t="str">
        <f>"APRE"</f>
        <v>APRE</v>
      </c>
      <c r="D126" s="2" t="str">
        <f>"Italy"</f>
        <v>Italy</v>
      </c>
    </row>
    <row r="127" spans="1:4" ht="38.25">
      <c r="A127" s="2" t="str">
        <f>"Frans"</f>
        <v>Frans</v>
      </c>
      <c r="B127" s="2" t="str">
        <f>"de Bruïne"</f>
        <v>de Bruïne</v>
      </c>
      <c r="C127" s="2" t="str">
        <f>"ISC4.EU, International Strategy Consultants"</f>
        <v>ISC4.EU, International Strategy Consultants</v>
      </c>
      <c r="D127" s="2" t="str">
        <f>"Belgium"</f>
        <v>Belgium</v>
      </c>
    </row>
    <row r="128" spans="1:4" ht="12.75">
      <c r="A128" s="2" t="str">
        <f>"Hans"</f>
        <v>Hans</v>
      </c>
      <c r="B128" s="2" t="str">
        <f>"De Four"</f>
        <v>De Four</v>
      </c>
      <c r="C128" s="2" t="str">
        <f>"KlasCement"</f>
        <v>KlasCement</v>
      </c>
      <c r="D128" s="2" t="str">
        <f>"Belgium"</f>
        <v>Belgium</v>
      </c>
    </row>
    <row r="129" spans="1:4" ht="12.75">
      <c r="A129" s="2" t="str">
        <f>"Lucia"</f>
        <v>Lucia</v>
      </c>
      <c r="B129" s="2" t="str">
        <f>"De Francesco"</f>
        <v>De Francesco</v>
      </c>
      <c r="C129" s="2" t="str">
        <f>"NewEn S.r.l."</f>
        <v>NewEn S.r.l.</v>
      </c>
      <c r="D129" s="2" t="str">
        <f>"Italy"</f>
        <v>Italy</v>
      </c>
    </row>
    <row r="130" spans="1:4" ht="12.75">
      <c r="A130" s="3" t="s">
        <v>68</v>
      </c>
      <c r="B130" s="3" t="s">
        <v>69</v>
      </c>
      <c r="C130" s="12"/>
      <c r="D130" s="3"/>
    </row>
    <row r="131" spans="1:4" ht="12.75">
      <c r="A131" s="2" t="str">
        <f>"Josep Lluis"</f>
        <v>Josep Lluis</v>
      </c>
      <c r="B131" s="2" t="str">
        <f>"de la Rosa i Esteva"</f>
        <v>de la Rosa i Esteva</v>
      </c>
      <c r="C131" s="2" t="str">
        <f>"Universitat de Girona"</f>
        <v>Universitat de Girona</v>
      </c>
      <c r="D131" s="2" t="str">
        <f>"Spain"</f>
        <v>Spain</v>
      </c>
    </row>
    <row r="132" spans="1:4" ht="12.75">
      <c r="A132" s="2" t="str">
        <f>"Nuria"</f>
        <v>Nuria</v>
      </c>
      <c r="B132" s="2" t="str">
        <f>"De Lama"</f>
        <v>De Lama</v>
      </c>
      <c r="C132" s="2" t="str">
        <f>"ATOS Spain"</f>
        <v>ATOS Spain</v>
      </c>
      <c r="D132" s="2" t="str">
        <f>"Spain"</f>
        <v>Spain</v>
      </c>
    </row>
    <row r="133" spans="1:4" ht="25.5">
      <c r="A133" s="2" t="str">
        <f>"Chris"</f>
        <v>Chris</v>
      </c>
      <c r="B133" s="2" t="str">
        <f>"De Loof"</f>
        <v>De Loof</v>
      </c>
      <c r="C133" s="2" t="str">
        <f>"Royal Museums of Art and History"</f>
        <v>Royal Museums of Art and History</v>
      </c>
      <c r="D133" s="2" t="str">
        <f>"Belgium"</f>
        <v>Belgium</v>
      </c>
    </row>
    <row r="134" spans="1:4" ht="12.75">
      <c r="A134" s="2" t="str">
        <f>"gilda"</f>
        <v>gilda</v>
      </c>
      <c r="B134" s="2" t="str">
        <f>"de marco"</f>
        <v>de marco</v>
      </c>
      <c r="C134" s="2" t="str">
        <f>"insiel"</f>
        <v>insiel</v>
      </c>
      <c r="D134" s="2" t="str">
        <f>"Italy"</f>
        <v>Italy</v>
      </c>
    </row>
    <row r="135" spans="1:4" ht="12.75">
      <c r="A135" s="2" t="str">
        <f>"Elodie"</f>
        <v>Elodie</v>
      </c>
      <c r="B135" s="2" t="str">
        <f>"de Mauduit"</f>
        <v>de Mauduit</v>
      </c>
      <c r="C135" s="2" t="str">
        <f>"PROCIREP"</f>
        <v>PROCIREP</v>
      </c>
      <c r="D135" s="2" t="str">
        <f>"France"</f>
        <v>France</v>
      </c>
    </row>
    <row r="136" spans="1:4" ht="25.5">
      <c r="A136" s="3" t="s">
        <v>70</v>
      </c>
      <c r="B136" s="3" t="s">
        <v>71</v>
      </c>
      <c r="C136" s="12" t="s">
        <v>72</v>
      </c>
      <c r="D136" s="3"/>
    </row>
    <row r="137" spans="1:4" ht="12.75">
      <c r="A137" s="2" t="str">
        <f>"Marco"</f>
        <v>Marco</v>
      </c>
      <c r="B137" s="2" t="str">
        <f>"De Niet"</f>
        <v>De Niet</v>
      </c>
      <c r="C137" s="2" t="str">
        <f>"DEN Foundation"</f>
        <v>DEN Foundation</v>
      </c>
      <c r="D137" s="2" t="str">
        <f>"Netherlands"</f>
        <v>Netherlands</v>
      </c>
    </row>
    <row r="138" spans="1:4" ht="12.75">
      <c r="A138" s="2" t="str">
        <f>"baudouin"</f>
        <v>baudouin</v>
      </c>
      <c r="B138" s="2" t="str">
        <f>"de Sonis"</f>
        <v>de Sonis</v>
      </c>
      <c r="C138" s="2" t="str">
        <f>"e-Forum"</f>
        <v>e-Forum</v>
      </c>
      <c r="D138" s="2" t="str">
        <f>"Belgium"</f>
        <v>Belgium</v>
      </c>
    </row>
    <row r="139" spans="1:4" ht="12.75">
      <c r="A139" s="2" t="str">
        <f>"Stefania"</f>
        <v>Stefania</v>
      </c>
      <c r="B139" s="2" t="str">
        <f>"De Zorzi"</f>
        <v>De Zorzi</v>
      </c>
      <c r="C139" s="2" t="str">
        <f>"Es Geoteam"</f>
        <v>Es Geoteam</v>
      </c>
      <c r="D139" s="2" t="str">
        <f>"Italy"</f>
        <v>Italy</v>
      </c>
    </row>
    <row r="140" spans="1:4" ht="12.75">
      <c r="A140" s="2" t="str">
        <f>"Thomas"</f>
        <v>Thomas</v>
      </c>
      <c r="B140" s="2" t="str">
        <f>"Debacker"</f>
        <v>Debacker</v>
      </c>
      <c r="C140" s="2" t="str">
        <f>"CityPassenger SA"</f>
        <v>CityPassenger SA</v>
      </c>
      <c r="D140" s="2" t="str">
        <f>"France"</f>
        <v>France</v>
      </c>
    </row>
    <row r="141" spans="1:4" ht="25.5">
      <c r="A141" s="2" t="str">
        <f>"Ann"</f>
        <v>Ann</v>
      </c>
      <c r="B141" s="2" t="str">
        <f>"Deckers"</f>
        <v>Deckers</v>
      </c>
      <c r="C141" s="2" t="str">
        <f>"FotoMuseum Provincie Antwerpen"</f>
        <v>FotoMuseum Provincie Antwerpen</v>
      </c>
      <c r="D141" s="2">
        <f>""</f>
      </c>
    </row>
    <row r="142" spans="1:4" ht="25.5">
      <c r="A142" s="3" t="s">
        <v>73</v>
      </c>
      <c r="B142" s="3" t="s">
        <v>74</v>
      </c>
      <c r="C142" s="12" t="s">
        <v>75</v>
      </c>
      <c r="D142" s="3"/>
    </row>
    <row r="143" spans="1:4" ht="12.75">
      <c r="A143" s="3" t="s">
        <v>76</v>
      </c>
      <c r="B143" s="3" t="s">
        <v>77</v>
      </c>
      <c r="C143" s="12" t="s">
        <v>78</v>
      </c>
      <c r="D143" s="3"/>
    </row>
    <row r="144" spans="1:4" ht="12.75">
      <c r="A144" s="2" t="str">
        <f>"Dilara"</f>
        <v>Dilara</v>
      </c>
      <c r="B144" s="2" t="str">
        <f>"Deneve"</f>
        <v>Deneve</v>
      </c>
      <c r="C144" s="2" t="str">
        <f>"TuR&amp;Bo - ppp"</f>
        <v>TuR&amp;Bo - ppp</v>
      </c>
      <c r="D144" s="2" t="str">
        <f>"Belgium"</f>
        <v>Belgium</v>
      </c>
    </row>
    <row r="145" spans="1:4" ht="51">
      <c r="A145" s="2" t="str">
        <f>"Corentin"</f>
        <v>Corentin</v>
      </c>
      <c r="B145" s="2" t="str">
        <f>"Denis"</f>
        <v>Denis</v>
      </c>
      <c r="C145" s="2" t="str">
        <f>"Espace Interrégional Européen (Bretagne / Pays de la Loire / Poitou-Charentes)"</f>
        <v>Espace Interrégional Européen (Bretagne / Pays de la Loire / Poitou-Charentes)</v>
      </c>
      <c r="D145" s="2" t="str">
        <f>"Belgium"</f>
        <v>Belgium</v>
      </c>
    </row>
    <row r="146" spans="1:4" ht="25.5">
      <c r="A146" s="2" t="str">
        <f>"giorgio"</f>
        <v>giorgio</v>
      </c>
      <c r="B146" s="2" t="str">
        <f>"denti"</f>
        <v>denti</v>
      </c>
      <c r="C146" s="2" t="str">
        <f>"Fondazione Musei Civici Venezia"</f>
        <v>Fondazione Musei Civici Venezia</v>
      </c>
      <c r="D146" s="2" t="str">
        <f>"Italy"</f>
        <v>Italy</v>
      </c>
    </row>
    <row r="147" spans="1:4" ht="12.75">
      <c r="A147" s="2" t="str">
        <f>"Jean-Christophe"</f>
        <v>Jean-Christophe</v>
      </c>
      <c r="B147" s="2" t="str">
        <f>"Deprez"</f>
        <v>Deprez</v>
      </c>
      <c r="C147" s="2" t="str">
        <f>"CETIC"</f>
        <v>CETIC</v>
      </c>
      <c r="D147" s="2" t="str">
        <f>"Belgium"</f>
        <v>Belgium</v>
      </c>
    </row>
    <row r="148" spans="1:4" ht="12.75">
      <c r="A148" s="2" t="str">
        <f>"Aliénor"</f>
        <v>Aliénor</v>
      </c>
      <c r="B148" s="2" t="str">
        <f>"Devalière"</f>
        <v>Devalière</v>
      </c>
      <c r="C148" s="2" t="str">
        <f>"Athenora Consulting"</f>
        <v>Athenora Consulting</v>
      </c>
      <c r="D148" s="2" t="str">
        <f>"Belgium"</f>
        <v>Belgium</v>
      </c>
    </row>
    <row r="149" spans="1:4" ht="12.75">
      <c r="A149" s="2" t="str">
        <f>"Merve"</f>
        <v>Merve</v>
      </c>
      <c r="B149" s="2" t="str">
        <f>"Deveciler"</f>
        <v>Deveciler</v>
      </c>
      <c r="C149" s="2" t="str">
        <f>"Turk Telekom Group"</f>
        <v>Turk Telekom Group</v>
      </c>
      <c r="D149" s="2" t="str">
        <f>"Turkey"</f>
        <v>Turkey</v>
      </c>
    </row>
    <row r="150" spans="1:4" ht="12.75">
      <c r="A150" s="2" t="str">
        <f>"Alberto"</f>
        <v>Alberto</v>
      </c>
      <c r="B150" s="2" t="str">
        <f>"Di Felice"</f>
        <v>Di Felice</v>
      </c>
      <c r="C150" s="2" t="str">
        <f>"Qualcomm"</f>
        <v>Qualcomm</v>
      </c>
      <c r="D150" s="2" t="str">
        <f>"Italy"</f>
        <v>Italy</v>
      </c>
    </row>
    <row r="151" spans="1:4" ht="12.75">
      <c r="A151" s="2" t="str">
        <f>"Giulio"</f>
        <v>Giulio</v>
      </c>
      <c r="B151" s="2" t="str">
        <f>"Di Giacomo"</f>
        <v>Di Giacomo</v>
      </c>
      <c r="C151" s="2" t="str">
        <f>"Telecom Italia SpA"</f>
        <v>Telecom Italia SpA</v>
      </c>
      <c r="D151" s="2" t="str">
        <f>"Italy"</f>
        <v>Italy</v>
      </c>
    </row>
    <row r="152" spans="1:4" ht="12.75">
      <c r="A152" s="2" t="str">
        <f>"Icilio"</f>
        <v>Icilio</v>
      </c>
      <c r="B152" s="2" t="str">
        <f>"Di Luzio"</f>
        <v>Di Luzio</v>
      </c>
      <c r="C152" s="2" t="str">
        <f>"SIMAV SpA"</f>
        <v>SIMAV SpA</v>
      </c>
      <c r="D152" s="2" t="str">
        <f>"Italy"</f>
        <v>Italy</v>
      </c>
    </row>
    <row r="153" spans="1:4" ht="12.75">
      <c r="A153" s="2" t="str">
        <f>"Gianluca"</f>
        <v>Gianluca</v>
      </c>
      <c r="B153" s="2" t="str">
        <f>"Di pasquale"</f>
        <v>Di pasquale</v>
      </c>
      <c r="C153" s="2" t="str">
        <f>"Between S.p.A."</f>
        <v>Between S.p.A.</v>
      </c>
      <c r="D153" s="2" t="str">
        <f>"Italy"</f>
        <v>Italy</v>
      </c>
    </row>
    <row r="154" spans="1:4" ht="25.5">
      <c r="A154" s="2" t="str">
        <f>"valerio"</f>
        <v>valerio</v>
      </c>
      <c r="B154" s="2" t="str">
        <f>"di tommaso"</f>
        <v>di tommaso</v>
      </c>
      <c r="C154" s="2" t="str">
        <f>"Leonardo Business Consulting"</f>
        <v>Leonardo Business Consulting</v>
      </c>
      <c r="D154" s="2" t="str">
        <f>"Italy"</f>
        <v>Italy</v>
      </c>
    </row>
    <row r="155" spans="1:4" ht="25.5">
      <c r="A155" s="3" t="s">
        <v>79</v>
      </c>
      <c r="B155" s="3" t="s">
        <v>80</v>
      </c>
      <c r="C155" s="12" t="s">
        <v>81</v>
      </c>
      <c r="D155" s="3"/>
    </row>
    <row r="156" spans="1:4" ht="25.5">
      <c r="A156" s="2" t="str">
        <f>"Michaël"</f>
        <v>Michaël</v>
      </c>
      <c r="B156" s="2" t="str">
        <f>"Djaoui"</f>
        <v>Djaoui</v>
      </c>
      <c r="C156" s="2" t="str">
        <f>"Euro-funding Advisory group"</f>
        <v>Euro-funding Advisory group</v>
      </c>
      <c r="D156" s="2" t="str">
        <f>"Spain"</f>
        <v>Spain</v>
      </c>
    </row>
    <row r="157" spans="1:4" ht="12.75">
      <c r="A157" s="2" t="str">
        <f>"Emanuela"</f>
        <v>Emanuela</v>
      </c>
      <c r="B157" s="2" t="str">
        <f>"Donetti"</f>
        <v>Donetti</v>
      </c>
      <c r="C157" s="2" t="str">
        <f>"Vega Park"</f>
        <v>Vega Park</v>
      </c>
      <c r="D157" s="2" t="str">
        <f>"Italy"</f>
        <v>Italy</v>
      </c>
    </row>
    <row r="158" spans="1:4" ht="38.25">
      <c r="A158" s="2" t="str">
        <f>"Axel"</f>
        <v>Axel</v>
      </c>
      <c r="B158" s="2" t="str">
        <f>"Donzelli"</f>
        <v>Donzelli</v>
      </c>
      <c r="C158" s="2" t="str">
        <f>"Consorzio Sociale COIN Società Cooperativa Sociale"</f>
        <v>Consorzio Sociale COIN Società Cooperativa Sociale</v>
      </c>
      <c r="D158" s="2" t="str">
        <f>"Italy"</f>
        <v>Italy</v>
      </c>
    </row>
    <row r="159" spans="1:4" ht="12.75">
      <c r="A159" s="3" t="s">
        <v>82</v>
      </c>
      <c r="B159" s="3" t="s">
        <v>83</v>
      </c>
      <c r="C159" s="12" t="s">
        <v>84</v>
      </c>
      <c r="D159" s="3"/>
    </row>
    <row r="160" spans="1:4" ht="25.5">
      <c r="A160" s="2" t="str">
        <f>"Tomasz"</f>
        <v>Tomasz</v>
      </c>
      <c r="B160" s="2" t="str">
        <f>"Dowgielewicz"</f>
        <v>Dowgielewicz</v>
      </c>
      <c r="C160" s="2" t="str">
        <f>"Institute of Logistics and Warehousing,"</f>
        <v>Institute of Logistics and Warehousing,</v>
      </c>
      <c r="D160" s="2" t="str">
        <f>"Poland"</f>
        <v>Poland</v>
      </c>
    </row>
    <row r="161" spans="1:4" ht="25.5">
      <c r="A161" s="2" t="str">
        <f>"Marco"</f>
        <v>Marco</v>
      </c>
      <c r="B161" s="2" t="str">
        <f>"Dri"</f>
        <v>Dri</v>
      </c>
      <c r="C161" s="2" t="str">
        <f>"University of Nottingham"</f>
        <v>University of Nottingham</v>
      </c>
      <c r="D161" s="2" t="str">
        <f>"United Kingdom"</f>
        <v>United Kingdom</v>
      </c>
    </row>
    <row r="162" spans="1:4" ht="25.5">
      <c r="A162" s="2" t="str">
        <f>"Daan"</f>
        <v>Daan</v>
      </c>
      <c r="B162" s="2" t="str">
        <f>"Du Toit"</f>
        <v>Du Toit</v>
      </c>
      <c r="C162" s="2" t="str">
        <f>"South African Embassy"</f>
        <v>South African Embassy</v>
      </c>
      <c r="D162" s="2" t="str">
        <f>"Belgium"</f>
        <v>Belgium</v>
      </c>
    </row>
    <row r="163" spans="1:4" ht="25.5">
      <c r="A163" s="2" t="str">
        <f>"Yanqing"</f>
        <v>Yanqing</v>
      </c>
      <c r="B163" s="2" t="str">
        <f>"Duan"</f>
        <v>Duan</v>
      </c>
      <c r="C163" s="2" t="str">
        <f>"University of Bedfordshire"</f>
        <v>University of Bedfordshire</v>
      </c>
      <c r="D163" s="2" t="str">
        <f>"United Kingdom"</f>
        <v>United Kingdom</v>
      </c>
    </row>
    <row r="164" spans="1:4" ht="12.75">
      <c r="A164" s="2" t="str">
        <f>"Stéphane"</f>
        <v>Stéphane</v>
      </c>
      <c r="B164" s="2" t="str">
        <f>"Dupont"</f>
        <v>Dupont</v>
      </c>
      <c r="C164" s="2" t="str">
        <f>"University of Mons"</f>
        <v>University of Mons</v>
      </c>
      <c r="D164" s="2" t="str">
        <f>"Belgium"</f>
        <v>Belgium</v>
      </c>
    </row>
    <row r="165" spans="1:4" ht="12.75">
      <c r="A165" s="2" t="str">
        <f>"bruno"</f>
        <v>bruno</v>
      </c>
      <c r="B165" s="2" t="str">
        <f>"duval"</f>
        <v>duval</v>
      </c>
      <c r="C165" s="2" t="str">
        <f>"CITYPASSENGER"</f>
        <v>CITYPASSENGER</v>
      </c>
      <c r="D165" s="2" t="str">
        <f>"France"</f>
        <v>France</v>
      </c>
    </row>
    <row r="166" spans="1:4" ht="25.5">
      <c r="A166" s="2" t="str">
        <f>"Olgierd"</f>
        <v>Olgierd</v>
      </c>
      <c r="B166" s="2" t="str">
        <f>"Dziamski"</f>
        <v>Dziamski</v>
      </c>
      <c r="C166" s="2" t="str">
        <f>"Institute of Logistics and Warehousing"</f>
        <v>Institute of Logistics and Warehousing</v>
      </c>
      <c r="D166" s="2" t="str">
        <f>"Poland"</f>
        <v>Poland</v>
      </c>
    </row>
    <row r="167" spans="1:4" ht="38.25">
      <c r="A167" s="2" t="str">
        <f>"Vera"</f>
        <v>Vera</v>
      </c>
      <c r="B167" s="2" t="str">
        <f>"Ebels"</f>
        <v>Ebels</v>
      </c>
      <c r="C167" s="2" t="str">
        <f>"Fund for Central &amp; East European Book Projects"</f>
        <v>Fund for Central &amp; East European Book Projects</v>
      </c>
      <c r="D167" s="2" t="str">
        <f>"Netherlands"</f>
        <v>Netherlands</v>
      </c>
    </row>
    <row r="168" spans="1:4" ht="12.75">
      <c r="A168" s="2" t="str">
        <f>"Joep"</f>
        <v>Joep</v>
      </c>
      <c r="B168" s="2" t="str">
        <f>"Ebus"</f>
        <v>Ebus</v>
      </c>
      <c r="C168" s="2" t="str">
        <f>"City of The Hague"</f>
        <v>City of The Hague</v>
      </c>
      <c r="D168" s="2" t="str">
        <f>"Netherlands"</f>
        <v>Netherlands</v>
      </c>
    </row>
    <row r="169" spans="1:4" ht="12.75">
      <c r="A169" s="2" t="str">
        <f>"Eva"</f>
        <v>Eva</v>
      </c>
      <c r="B169" s="2" t="str">
        <f>"Edlinger"</f>
        <v>Edlinger</v>
      </c>
      <c r="C169" s="2" t="str">
        <f>"European Commission"</f>
        <v>European Commission</v>
      </c>
      <c r="D169" s="2">
        <f>""</f>
      </c>
    </row>
    <row r="170" spans="1:4" ht="12.75">
      <c r="A170" s="2" t="str">
        <f>"Guntis"</f>
        <v>Guntis</v>
      </c>
      <c r="B170" s="2" t="str">
        <f>"Eiduks"</f>
        <v>Eiduks</v>
      </c>
      <c r="C170" s="2" t="str">
        <f>"Lattelecom"</f>
        <v>Lattelecom</v>
      </c>
      <c r="D170" s="2">
        <f>""</f>
      </c>
    </row>
    <row r="171" spans="1:4" ht="12.75">
      <c r="A171" s="2" t="str">
        <f>"Geerten"</f>
        <v>Geerten</v>
      </c>
      <c r="B171" s="2" t="str">
        <f>"Eijkelenboom"</f>
        <v>Eijkelenboom</v>
      </c>
      <c r="C171" s="2" t="str">
        <f>"Internet Valley"</f>
        <v>Internet Valley</v>
      </c>
      <c r="D171" s="2" t="str">
        <f>"Netherlands"</f>
        <v>Netherlands</v>
      </c>
    </row>
    <row r="172" spans="1:4" ht="25.5">
      <c r="A172" s="2" t="str">
        <f>"Minerva"</f>
        <v>Minerva</v>
      </c>
      <c r="B172" s="2" t="str">
        <f>"Elias"</f>
        <v>Elias</v>
      </c>
      <c r="C172" s="2" t="str">
        <f>"ACC10 - Government of Catalonia"</f>
        <v>ACC10 - Government of Catalonia</v>
      </c>
      <c r="D172" s="2" t="str">
        <f>"Belgium"</f>
        <v>Belgium</v>
      </c>
    </row>
    <row r="173" spans="1:4" ht="25.5">
      <c r="A173" s="2" t="str">
        <f>"Vibe"</f>
        <v>Vibe</v>
      </c>
      <c r="B173" s="2" t="str">
        <f>"Engel"</f>
        <v>Engel</v>
      </c>
      <c r="C173" s="2" t="str">
        <f>"ZealandDenmark EU Office"</f>
        <v>ZealandDenmark EU Office</v>
      </c>
      <c r="D173" s="2" t="str">
        <f>"Denmark"</f>
        <v>Denmark</v>
      </c>
    </row>
    <row r="174" spans="1:4" ht="12.75">
      <c r="A174" s="2" t="str">
        <f>"Sara"</f>
        <v>Sara</v>
      </c>
      <c r="B174" s="2" t="str">
        <f>"Ercolani"</f>
        <v>Ercolani</v>
      </c>
      <c r="C174" s="2" t="str">
        <f>"Veltha"</f>
        <v>Veltha</v>
      </c>
      <c r="D174" s="2" t="str">
        <f>"Belgium"</f>
        <v>Belgium</v>
      </c>
    </row>
    <row r="175" spans="1:4" ht="12.75">
      <c r="A175" s="4" t="s">
        <v>85</v>
      </c>
      <c r="B175" s="4" t="s">
        <v>86</v>
      </c>
      <c r="C175" s="5"/>
      <c r="D175" s="4"/>
    </row>
    <row r="176" spans="1:4" ht="12.75">
      <c r="A176" s="3" t="s">
        <v>87</v>
      </c>
      <c r="B176" s="3" t="s">
        <v>88</v>
      </c>
      <c r="C176" s="12" t="s">
        <v>89</v>
      </c>
      <c r="D176" s="3"/>
    </row>
    <row r="177" spans="1:4" ht="12.75">
      <c r="A177" s="2" t="str">
        <f>"Olivier"</f>
        <v>Olivier</v>
      </c>
      <c r="B177" s="2" t="str">
        <f>"Eschapasse"</f>
        <v>Eschapasse</v>
      </c>
      <c r="C177" s="2" t="str">
        <f>"Comptoir des savoirs"</f>
        <v>Comptoir des savoirs</v>
      </c>
      <c r="D177" s="2" t="str">
        <f>"France"</f>
        <v>France</v>
      </c>
    </row>
    <row r="178" spans="1:4" ht="12.75">
      <c r="A178" s="2" t="str">
        <f>"Gerardo"</f>
        <v>Gerardo</v>
      </c>
      <c r="B178" s="2" t="str">
        <f>"Escobedo"</f>
        <v>Escobedo</v>
      </c>
      <c r="C178" s="2" t="str">
        <f>"Red Aragón 7PM"</f>
        <v>Red Aragón 7PM</v>
      </c>
      <c r="D178" s="2" t="str">
        <f>"Spain"</f>
        <v>Spain</v>
      </c>
    </row>
    <row r="179" spans="1:4" ht="12.75">
      <c r="A179" s="2" t="str">
        <f>"Anna I"</f>
        <v>Anna I</v>
      </c>
      <c r="B179" s="2" t="str">
        <f>"Esparcia-Alcazar"</f>
        <v>Esparcia-Alcazar</v>
      </c>
      <c r="C179" s="2" t="str">
        <f>"S2 Grupo"</f>
        <v>S2 Grupo</v>
      </c>
      <c r="D179" s="2" t="str">
        <f>"Spain"</f>
        <v>Spain</v>
      </c>
    </row>
    <row r="180" spans="1:4" ht="12.75">
      <c r="A180" s="2" t="str">
        <f>"Gennaro"</f>
        <v>Gennaro</v>
      </c>
      <c r="B180" s="2" t="str">
        <f>"Esposito"</f>
        <v>Esposito</v>
      </c>
      <c r="C180" s="2" t="str">
        <f>"SIMAAV S.p.A."</f>
        <v>SIMAAV S.p.A.</v>
      </c>
      <c r="D180" s="2" t="str">
        <f>"Italy"</f>
        <v>Italy</v>
      </c>
    </row>
    <row r="181" spans="1:4" ht="12.75">
      <c r="A181" s="2" t="str">
        <f>"David"</f>
        <v>David</v>
      </c>
      <c r="B181" s="2" t="str">
        <f>"Esteban"</f>
        <v>Esteban</v>
      </c>
      <c r="C181" s="2" t="str">
        <f>"TECHFORCE SL"</f>
        <v>TECHFORCE SL</v>
      </c>
      <c r="D181" s="2" t="str">
        <f>"Spain"</f>
        <v>Spain</v>
      </c>
    </row>
    <row r="182" spans="1:4" ht="12.75">
      <c r="A182" s="2" t="str">
        <f>"FRANCISCO"</f>
        <v>FRANCISCO</v>
      </c>
      <c r="B182" s="2" t="str">
        <f>"ESTEVAN"</f>
        <v>ESTEVAN</v>
      </c>
      <c r="C182" s="2" t="str">
        <f>"GREEN EUROPE"</f>
        <v>GREEN EUROPE</v>
      </c>
      <c r="D182" s="2" t="str">
        <f>"Spain"</f>
        <v>Spain</v>
      </c>
    </row>
    <row r="183" spans="1:4" ht="25.5">
      <c r="A183" s="2" t="str">
        <f>"Jackie"</f>
        <v>Jackie</v>
      </c>
      <c r="B183" s="2" t="str">
        <f>"Eveleigh"</f>
        <v>Eveleigh</v>
      </c>
      <c r="C183" s="2" t="str">
        <f>"East of England European Partnership"</f>
        <v>East of England European Partnership</v>
      </c>
      <c r="D183" s="2" t="str">
        <f>"United Kingdom"</f>
        <v>United Kingdom</v>
      </c>
    </row>
    <row r="184" spans="1:4" ht="12.75">
      <c r="A184" s="3" t="s">
        <v>90</v>
      </c>
      <c r="B184" s="3" t="s">
        <v>91</v>
      </c>
      <c r="C184" s="12" t="s">
        <v>92</v>
      </c>
      <c r="D184" s="3"/>
    </row>
    <row r="185" spans="1:4" ht="12.75">
      <c r="A185" s="3" t="s">
        <v>90</v>
      </c>
      <c r="B185" s="3" t="s">
        <v>91</v>
      </c>
      <c r="C185" s="12" t="s">
        <v>92</v>
      </c>
      <c r="D185" s="3"/>
    </row>
    <row r="186" spans="1:4" ht="12.75">
      <c r="A186" s="2" t="str">
        <f>"ELENA"</f>
        <v>ELENA</v>
      </c>
      <c r="B186" s="2" t="str">
        <f>"FEMENIA"</f>
        <v>FEMENIA</v>
      </c>
      <c r="C186" s="2" t="str">
        <f>"LOCAL EUROPE"</f>
        <v>LOCAL EUROPE</v>
      </c>
      <c r="D186" s="2" t="str">
        <f>"Spain"</f>
        <v>Spain</v>
      </c>
    </row>
    <row r="187" spans="1:4" ht="12.75">
      <c r="A187" s="3" t="s">
        <v>93</v>
      </c>
      <c r="B187" s="3" t="s">
        <v>94</v>
      </c>
      <c r="C187" s="12"/>
      <c r="D187" s="3"/>
    </row>
    <row r="188" spans="1:4" ht="25.5">
      <c r="A188" s="2" t="str">
        <f>"Francesco"</f>
        <v>Francesco</v>
      </c>
      <c r="B188" s="2" t="str">
        <f>"Ferrero"</f>
        <v>Ferrero</v>
      </c>
      <c r="C188" s="2" t="str">
        <f>"Istituto Superiore Mario Boella"</f>
        <v>Istituto Superiore Mario Boella</v>
      </c>
      <c r="D188" s="2" t="str">
        <f>"Italy"</f>
        <v>Italy</v>
      </c>
    </row>
    <row r="189" spans="1:4" ht="12.75">
      <c r="A189" s="3" t="s">
        <v>95</v>
      </c>
      <c r="B189" s="3" t="s">
        <v>96</v>
      </c>
      <c r="C189" s="12" t="s">
        <v>97</v>
      </c>
      <c r="D189" s="3"/>
    </row>
    <row r="190" spans="1:4" ht="25.5">
      <c r="A190" s="2" t="str">
        <f>"Jean-Christophe"</f>
        <v>Jean-Christophe</v>
      </c>
      <c r="B190" s="2" t="str">
        <f>"FINIDORI"</f>
        <v>FINIDORI</v>
      </c>
      <c r="C190" s="2" t="str">
        <f>"FUSART l'Art de l'Entreprise"</f>
        <v>FUSART l'Art de l'Entreprise</v>
      </c>
      <c r="D190" s="2" t="str">
        <f>"France"</f>
        <v>France</v>
      </c>
    </row>
    <row r="191" spans="1:4" ht="12.75">
      <c r="A191" s="2" t="str">
        <f>"Dewar"</f>
        <v>Dewar</v>
      </c>
      <c r="B191" s="2" t="str">
        <f>"Finlay"</f>
        <v>Finlay</v>
      </c>
      <c r="C191" s="2" t="str">
        <f>"University of Ulster"</f>
        <v>University of Ulster</v>
      </c>
      <c r="D191" s="2" t="str">
        <f>"United Kingdom"</f>
        <v>United Kingdom</v>
      </c>
    </row>
    <row r="192" spans="1:4" ht="25.5">
      <c r="A192" s="2" t="str">
        <f>"John"</f>
        <v>John</v>
      </c>
      <c r="B192" s="2" t="str">
        <f>"Fitzgibbon"</f>
        <v>Fitzgibbon</v>
      </c>
      <c r="C192" s="2" t="str">
        <f>"Southern England Local Partners"</f>
        <v>Southern England Local Partners</v>
      </c>
      <c r="D192" s="2" t="str">
        <f>"United Kingdom"</f>
        <v>United Kingdom</v>
      </c>
    </row>
    <row r="193" spans="1:4" ht="12.75">
      <c r="A193" s="2" t="str">
        <f>"Monica"</f>
        <v>Monica</v>
      </c>
      <c r="B193" s="2" t="str">
        <f>"Florea"</f>
        <v>Florea</v>
      </c>
      <c r="C193" s="2" t="str">
        <f>"SIVECO Romania SA"</f>
        <v>SIVECO Romania SA</v>
      </c>
      <c r="D193" s="2" t="str">
        <f>"Romania"</f>
        <v>Romania</v>
      </c>
    </row>
    <row r="194" spans="1:4" ht="12.75">
      <c r="A194" s="2" t="str">
        <f>"Margherita"</f>
        <v>Margherita</v>
      </c>
      <c r="B194" s="2" t="str">
        <f>"Forcolin"</f>
        <v>Forcolin</v>
      </c>
      <c r="C194" s="2" t="str">
        <f>"Insiel SpA"</f>
        <v>Insiel SpA</v>
      </c>
      <c r="D194" s="2" t="str">
        <f>"Italy"</f>
        <v>Italy</v>
      </c>
    </row>
    <row r="195" spans="1:4" ht="12.75">
      <c r="A195" s="2" t="str">
        <f>"Michèle"</f>
        <v>Michèle</v>
      </c>
      <c r="B195" s="2" t="str">
        <f>"Foucart"</f>
        <v>Foucart</v>
      </c>
      <c r="C195" s="2" t="str">
        <f>"Capgemini Consulting"</f>
        <v>Capgemini Consulting</v>
      </c>
      <c r="D195" s="2" t="str">
        <f>"Belgium"</f>
        <v>Belgium</v>
      </c>
    </row>
    <row r="196" spans="1:4" ht="12.75">
      <c r="A196" s="2" t="str">
        <f>"Paolo"</f>
        <v>Paolo</v>
      </c>
      <c r="B196" s="2" t="str">
        <f>"Franceschini"</f>
        <v>Franceschini</v>
      </c>
      <c r="C196" s="2" t="str">
        <f>"idea-re"</f>
        <v>idea-re</v>
      </c>
      <c r="D196" s="2" t="str">
        <f>"Italy"</f>
        <v>Italy</v>
      </c>
    </row>
    <row r="197" spans="1:4" ht="12.75">
      <c r="A197" s="2" t="str">
        <f>"Jan"</f>
        <v>Jan</v>
      </c>
      <c r="B197" s="2" t="str">
        <f>"Franke"</f>
        <v>Franke</v>
      </c>
      <c r="C197" s="2" t="str">
        <f>"Eurocities"</f>
        <v>Eurocities</v>
      </c>
      <c r="D197" s="2" t="str">
        <f>"Belgium"</f>
        <v>Belgium</v>
      </c>
    </row>
    <row r="198" spans="1:4" ht="12.75">
      <c r="A198" s="2" t="str">
        <f>"Antonella"</f>
        <v>Antonella</v>
      </c>
      <c r="B198" s="2" t="str">
        <f>"Fresa"</f>
        <v>Fresa</v>
      </c>
      <c r="C198" s="2" t="str">
        <f>"Promoter"</f>
        <v>Promoter</v>
      </c>
      <c r="D198" s="2" t="str">
        <f>"Italy"</f>
        <v>Italy</v>
      </c>
    </row>
    <row r="199" spans="1:4" ht="25.5">
      <c r="A199" s="2" t="str">
        <f>"Raluca"</f>
        <v>Raluca</v>
      </c>
      <c r="B199" s="2" t="str">
        <f>"Frunza"</f>
        <v>Frunza</v>
      </c>
      <c r="C199" s="2" t="str">
        <f>"Faculty of Law of Maastricht University"</f>
        <v>Faculty of Law of Maastricht University</v>
      </c>
      <c r="D199" s="2" t="str">
        <f>"Netherlands"</f>
        <v>Netherlands</v>
      </c>
    </row>
    <row r="200" spans="1:4" ht="38.25">
      <c r="A200" s="2" t="str">
        <f>"SOLEDAD"</f>
        <v>SOLEDAD</v>
      </c>
      <c r="B200" s="2" t="str">
        <f>"FUENTES"</f>
        <v>FUENTES</v>
      </c>
      <c r="C200" s="2" t="s">
        <v>98</v>
      </c>
      <c r="D200" s="2" t="str">
        <f>"Spain"</f>
        <v>Spain</v>
      </c>
    </row>
    <row r="201" spans="1:4" ht="12.75">
      <c r="A201" s="2" t="str">
        <f>"Claudia"</f>
        <v>Claudia</v>
      </c>
      <c r="B201" s="2" t="str">
        <f>"Fuerst"</f>
        <v>Fuerst</v>
      </c>
      <c r="C201" s="2" t="str">
        <f>"451 Research"</f>
        <v>451 Research</v>
      </c>
      <c r="D201" s="2" t="str">
        <f>"United Kingdom"</f>
        <v>United Kingdom</v>
      </c>
    </row>
    <row r="202" spans="1:4" ht="12.75">
      <c r="A202" s="2" t="str">
        <f>"Giovanna"</f>
        <v>Giovanna</v>
      </c>
      <c r="B202" s="2" t="str">
        <f>"Galasso"</f>
        <v>Galasso</v>
      </c>
      <c r="C202" s="2" t="str">
        <f>"Ernst &amp; Young"</f>
        <v>Ernst &amp; Young</v>
      </c>
      <c r="D202" s="2" t="str">
        <f>"Italy"</f>
        <v>Italy</v>
      </c>
    </row>
    <row r="203" spans="1:4" ht="25.5">
      <c r="A203" s="2" t="str">
        <f>"Graziana"</f>
        <v>Graziana</v>
      </c>
      <c r="B203" s="2" t="str">
        <f>"Galati"</f>
        <v>Galati</v>
      </c>
      <c r="C203" s="2" t="str">
        <f>"Emilia-Romagna Region EU office"</f>
        <v>Emilia-Romagna Region EU office</v>
      </c>
      <c r="D203" s="2">
        <f>""</f>
      </c>
    </row>
    <row r="204" spans="1:4" ht="25.5">
      <c r="A204" s="2" t="str">
        <f>"Marta"</f>
        <v>Marta</v>
      </c>
      <c r="B204" s="2" t="str">
        <f>"Gallardo"</f>
        <v>Gallardo</v>
      </c>
      <c r="C204" s="2" t="str">
        <f>"Catalan Delegation to the EU"</f>
        <v>Catalan Delegation to the EU</v>
      </c>
      <c r="D204" s="2" t="str">
        <f>"Spain"</f>
        <v>Spain</v>
      </c>
    </row>
    <row r="205" spans="1:4" ht="25.5">
      <c r="A205" s="2" t="str">
        <f>"Maura"</f>
        <v>Maura</v>
      </c>
      <c r="B205" s="2" t="str">
        <f>"Gambassi"</f>
        <v>Gambassi</v>
      </c>
      <c r="C205" s="2" t="str">
        <f>"Ministero dello sviluppo economico"</f>
        <v>Ministero dello sviluppo economico</v>
      </c>
      <c r="D205" s="2">
        <f>""</f>
      </c>
    </row>
    <row r="206" spans="1:4" ht="12.75">
      <c r="A206" s="2" t="str">
        <f>"RAFFAELLA"</f>
        <v>RAFFAELLA</v>
      </c>
      <c r="B206" s="2" t="str">
        <f>"GAMBELLINI"</f>
        <v>GAMBELLINI</v>
      </c>
      <c r="C206" s="2" t="str">
        <f>"VELTHA"</f>
        <v>VELTHA</v>
      </c>
      <c r="D206" s="2">
        <f>""</f>
      </c>
    </row>
    <row r="207" spans="1:4" ht="12.75">
      <c r="A207" s="3" t="s">
        <v>99</v>
      </c>
      <c r="B207" s="3" t="s">
        <v>100</v>
      </c>
      <c r="C207" s="12" t="s">
        <v>101</v>
      </c>
      <c r="D207" s="3"/>
    </row>
    <row r="208" spans="1:4" ht="12.75">
      <c r="A208" s="2" t="str">
        <f>"Anastasia"</f>
        <v>Anastasia</v>
      </c>
      <c r="B208" s="2" t="str">
        <f>"Garbi"</f>
        <v>Garbi</v>
      </c>
      <c r="C208" s="2" t="str">
        <f>"EXODUS SA."</f>
        <v>EXODUS SA.</v>
      </c>
      <c r="D208" s="2" t="str">
        <f>"Greece"</f>
        <v>Greece</v>
      </c>
    </row>
    <row r="209" spans="1:4" ht="12.75">
      <c r="A209" s="2" t="str">
        <f>"Catarina"</f>
        <v>Catarina</v>
      </c>
      <c r="B209" s="2" t="str">
        <f>"Garcia"</f>
        <v>Garcia</v>
      </c>
      <c r="C209" s="2" t="str">
        <f>"Eupportunity"</f>
        <v>Eupportunity</v>
      </c>
      <c r="D209" s="2">
        <f>""</f>
      </c>
    </row>
    <row r="210" spans="1:4" ht="25.5">
      <c r="A210" s="2" t="str">
        <f>"Jean Christophe"</f>
        <v>Jean Christophe</v>
      </c>
      <c r="B210" s="2" t="str">
        <f>"Garcia"</f>
        <v>Garcia</v>
      </c>
      <c r="C210" s="2" t="str">
        <f>"Delegacion Junta de Andalucia en Bruselas"</f>
        <v>Delegacion Junta de Andalucia en Bruselas</v>
      </c>
      <c r="D210" s="2">
        <f>""</f>
      </c>
    </row>
    <row r="211" spans="1:4" ht="12.75">
      <c r="A211" s="3" t="s">
        <v>102</v>
      </c>
      <c r="B211" s="3" t="s">
        <v>103</v>
      </c>
      <c r="C211" s="12" t="s">
        <v>104</v>
      </c>
      <c r="D211" s="3"/>
    </row>
    <row r="212" spans="1:4" ht="12.75">
      <c r="A212" s="3" t="s">
        <v>105</v>
      </c>
      <c r="B212" s="3" t="s">
        <v>103</v>
      </c>
      <c r="C212" s="12" t="s">
        <v>106</v>
      </c>
      <c r="D212" s="3"/>
    </row>
    <row r="213" spans="1:4" ht="25.5">
      <c r="A213" s="2" t="str">
        <f>"Ana"</f>
        <v>Ana</v>
      </c>
      <c r="B213" s="2" t="str">
        <f>"Garcia Robles"</f>
        <v>Garcia Robles</v>
      </c>
      <c r="C213" s="2" t="str">
        <f>"European Network of Living Labs"</f>
        <v>European Network of Living Labs</v>
      </c>
      <c r="D213" s="2" t="str">
        <f>"Belgium"</f>
        <v>Belgium</v>
      </c>
    </row>
    <row r="214" spans="1:4" ht="12.75">
      <c r="A214" s="2" t="str">
        <f>"Paolo"</f>
        <v>Paolo</v>
      </c>
      <c r="B214" s="2" t="str">
        <f>"Gasparetto"</f>
        <v>Gasparetto</v>
      </c>
      <c r="C214" s="2" t="str">
        <f>"IQT Consulting S.r.l."</f>
        <v>IQT Consulting S.r.l.</v>
      </c>
      <c r="D214" s="2" t="str">
        <f>"Italy"</f>
        <v>Italy</v>
      </c>
    </row>
    <row r="215" spans="1:4" ht="12.75">
      <c r="A215" s="2" t="str">
        <f>"FILIPPO"</f>
        <v>FILIPPO</v>
      </c>
      <c r="B215" s="2" t="str">
        <f>"GASPARIN"</f>
        <v>GASPARIN</v>
      </c>
      <c r="C215" s="2" t="str">
        <f>"ENEL"</f>
        <v>ENEL</v>
      </c>
      <c r="D215" s="2" t="str">
        <f>"Belgium"</f>
        <v>Belgium</v>
      </c>
    </row>
    <row r="216" spans="1:4" ht="12.75">
      <c r="A216" s="2" t="str">
        <f>"Dominique"</f>
        <v>Dominique</v>
      </c>
      <c r="B216" s="2" t="str">
        <f>"Gaudron"</f>
        <v>Gaudron</v>
      </c>
      <c r="C216" s="2" t="str">
        <f>"ALGOE"</f>
        <v>ALGOE</v>
      </c>
      <c r="D216" s="2" t="str">
        <f>"France"</f>
        <v>France</v>
      </c>
    </row>
    <row r="217" spans="1:4" ht="12.75">
      <c r="A217" s="2" t="str">
        <f>"Ivan"</f>
        <v>Ivan</v>
      </c>
      <c r="B217" s="2" t="str">
        <f>"Gauna"</f>
        <v>Gauna</v>
      </c>
      <c r="C217" s="2" t="str">
        <f>"Csi-Piemonte"</f>
        <v>Csi-Piemonte</v>
      </c>
      <c r="D217" s="2" t="str">
        <f>"Italy"</f>
        <v>Italy</v>
      </c>
    </row>
    <row r="218" spans="1:4" ht="51">
      <c r="A218" s="2" t="str">
        <f>"Carole"</f>
        <v>Carole</v>
      </c>
      <c r="B218" s="2" t="str">
        <f>"Germani"</f>
        <v>Germani</v>
      </c>
      <c r="C218" s="2" t="str">
        <f>"Paris/Ile-de-France Chambers of Commerce and Industry EU Office"</f>
        <v>Paris/Ile-de-France Chambers of Commerce and Industry EU Office</v>
      </c>
      <c r="D218" s="2">
        <f>""</f>
      </c>
    </row>
    <row r="219" spans="1:4" ht="12.75">
      <c r="A219" s="2" t="str">
        <f>"vito"</f>
        <v>vito</v>
      </c>
      <c r="B219" s="2" t="str">
        <f>"giannella"</f>
        <v>giannella</v>
      </c>
      <c r="C219" s="2" t="str">
        <f>"infocamere"</f>
        <v>infocamere</v>
      </c>
      <c r="D219" s="2" t="str">
        <f>"Italy"</f>
        <v>Italy</v>
      </c>
    </row>
    <row r="220" spans="1:4" ht="12.75">
      <c r="A220" s="2" t="str">
        <f>"Francesca"</f>
        <v>Francesca</v>
      </c>
      <c r="B220" s="2" t="str">
        <f>"Giannini"</f>
        <v>Giannini</v>
      </c>
      <c r="C220" s="2" t="str">
        <f>"Scottish Enterprise"</f>
        <v>Scottish Enterprise</v>
      </c>
      <c r="D220" s="2" t="str">
        <f>"United Kingdom"</f>
        <v>United Kingdom</v>
      </c>
    </row>
    <row r="221" spans="1:4" ht="25.5">
      <c r="A221" s="5" t="s">
        <v>107</v>
      </c>
      <c r="B221" s="4" t="s">
        <v>108</v>
      </c>
      <c r="C221" s="5" t="s">
        <v>109</v>
      </c>
      <c r="D221" s="4"/>
    </row>
    <row r="222" spans="1:4" ht="25.5">
      <c r="A222" s="3" t="s">
        <v>110</v>
      </c>
      <c r="B222" s="3" t="s">
        <v>111</v>
      </c>
      <c r="C222" s="12" t="s">
        <v>112</v>
      </c>
      <c r="D222" s="3" t="s">
        <v>113</v>
      </c>
    </row>
    <row r="223" spans="1:4" ht="12.75">
      <c r="A223" s="2" t="str">
        <f>"Laila"</f>
        <v>Laila</v>
      </c>
      <c r="B223" s="2" t="str">
        <f>"GIDE"</f>
        <v>GIDE</v>
      </c>
      <c r="C223" s="2" t="str">
        <f>"THALES"</f>
        <v>THALES</v>
      </c>
      <c r="D223" s="2" t="str">
        <f>"France"</f>
        <v>France</v>
      </c>
    </row>
    <row r="224" spans="1:4" ht="38.25">
      <c r="A224" s="2" t="str">
        <f>"Roberto"</f>
        <v>Roberto</v>
      </c>
      <c r="B224" s="2" t="str">
        <f>"Gimenez"</f>
        <v>Gimenez</v>
      </c>
      <c r="C224" s="2" t="str">
        <f>"HI-IBERIA INGENIERIA Y PROYECTOS SL"</f>
        <v>HI-IBERIA INGENIERIA Y PROYECTOS SL</v>
      </c>
      <c r="D224" s="2" t="str">
        <f>"Spain"</f>
        <v>Spain</v>
      </c>
    </row>
    <row r="225" spans="1:4" ht="12.75">
      <c r="A225" s="2" t="str">
        <f>"Francesca Maria"</f>
        <v>Francesca Maria</v>
      </c>
      <c r="B225" s="2" t="str">
        <f>"Giorgio"</f>
        <v>Giorgio</v>
      </c>
      <c r="C225" s="2" t="str">
        <f>"Tecnopolis"</f>
        <v>Tecnopolis</v>
      </c>
      <c r="D225" s="2" t="str">
        <f>"Italy"</f>
        <v>Italy</v>
      </c>
    </row>
    <row r="226" spans="1:4" ht="12.75">
      <c r="A226" s="3" t="s">
        <v>114</v>
      </c>
      <c r="B226" s="3" t="s">
        <v>115</v>
      </c>
      <c r="C226" s="12" t="s">
        <v>116</v>
      </c>
      <c r="D226" s="3"/>
    </row>
    <row r="227" spans="1:4" ht="12.75">
      <c r="A227" s="2" t="str">
        <f>"Alessandra"</f>
        <v>Alessandra</v>
      </c>
      <c r="B227" s="2" t="str">
        <f>"Girardi"</f>
        <v>Girardi</v>
      </c>
      <c r="C227" s="2" t="str">
        <f>"Veltha i.v.z.w."</f>
        <v>Veltha i.v.z.w.</v>
      </c>
      <c r="D227" s="2" t="str">
        <f>"Belgium"</f>
        <v>Belgium</v>
      </c>
    </row>
    <row r="228" spans="1:4" ht="12.75">
      <c r="A228" s="2" t="str">
        <f>"Alessandra"</f>
        <v>Alessandra</v>
      </c>
      <c r="B228" s="2" t="str">
        <f>"Girardi"</f>
        <v>Girardi</v>
      </c>
      <c r="C228" s="2" t="str">
        <f>"Veltha i.v.z.w."</f>
        <v>Veltha i.v.z.w.</v>
      </c>
      <c r="D228" s="2">
        <f>""</f>
      </c>
    </row>
    <row r="229" spans="1:4" ht="12.75">
      <c r="A229" s="2" t="str">
        <f>"Miriam"</f>
        <v>Miriam</v>
      </c>
      <c r="B229" s="2" t="str">
        <f>"Giubertoni"</f>
        <v>Giubertoni</v>
      </c>
      <c r="C229" s="2" t="str">
        <f>"Geo4Map Srl"</f>
        <v>Geo4Map Srl</v>
      </c>
      <c r="D229" s="2" t="str">
        <f>"Italy"</f>
        <v>Italy</v>
      </c>
    </row>
    <row r="230" spans="1:4" ht="12.75">
      <c r="A230" s="2" t="str">
        <f>"Stefano"</f>
        <v>Stefano</v>
      </c>
      <c r="B230" s="2" t="str">
        <f>"Giuliani"</f>
        <v>Giuliani</v>
      </c>
      <c r="C230" s="2" t="str">
        <f>"Geo4Map Srl"</f>
        <v>Geo4Map Srl</v>
      </c>
      <c r="D230" s="2" t="str">
        <f>"Italy"</f>
        <v>Italy</v>
      </c>
    </row>
    <row r="231" spans="1:4" ht="25.5">
      <c r="A231" s="3" t="s">
        <v>117</v>
      </c>
      <c r="B231" s="3" t="s">
        <v>118</v>
      </c>
      <c r="C231" s="12" t="s">
        <v>119</v>
      </c>
      <c r="D231" s="3"/>
    </row>
    <row r="232" spans="1:4" ht="12.75">
      <c r="A232" s="2" t="str">
        <f>"Benoit"</f>
        <v>Benoit</v>
      </c>
      <c r="B232" s="2" t="str">
        <f>"Godenir"</f>
        <v>Godenir</v>
      </c>
      <c r="C232" s="2" t="str">
        <f>"Belgacom SA"</f>
        <v>Belgacom SA</v>
      </c>
      <c r="D232" s="2" t="str">
        <f>"Belgium"</f>
        <v>Belgium</v>
      </c>
    </row>
    <row r="233" spans="1:4" ht="25.5">
      <c r="A233" s="2" t="str">
        <f>"H. Haluk"</f>
        <v>H. Haluk</v>
      </c>
      <c r="B233" s="2" t="str">
        <f>"Gokmen"</f>
        <v>Gokmen</v>
      </c>
      <c r="C233" s="2" t="str">
        <f>"Arcelik A.S. BU Electronics"</f>
        <v>Arcelik A.S. BU Electronics</v>
      </c>
      <c r="D233" s="2" t="str">
        <f>"Turkey"</f>
        <v>Turkey</v>
      </c>
    </row>
    <row r="234" spans="1:4" ht="25.5">
      <c r="A234" s="2" t="str">
        <f>"Daniela"</f>
        <v>Daniela</v>
      </c>
      <c r="B234" s="2" t="str">
        <f>"Gomes"</f>
        <v>Gomes</v>
      </c>
      <c r="C234" s="2" t="str">
        <f>"ENCO Engineering &amp; Consulting"</f>
        <v>ENCO Engineering &amp; Consulting</v>
      </c>
      <c r="D234" s="2" t="str">
        <f>"Italy"</f>
        <v>Italy</v>
      </c>
    </row>
    <row r="235" spans="1:4" ht="25.5">
      <c r="A235" s="2" t="str">
        <f>"Raquel"</f>
        <v>Raquel</v>
      </c>
      <c r="B235" s="2" t="str">
        <f>"Gómez"</f>
        <v>Gómez</v>
      </c>
      <c r="C235" s="2" t="str">
        <f>"Barcelona Provinvial Council"</f>
        <v>Barcelona Provinvial Council</v>
      </c>
      <c r="D235" s="2" t="str">
        <f>"Spain"</f>
        <v>Spain</v>
      </c>
    </row>
    <row r="236" spans="1:4" ht="12.75">
      <c r="A236" s="2" t="str">
        <f>"Ainhoa"</f>
        <v>Ainhoa</v>
      </c>
      <c r="B236" s="2" t="str">
        <f>"Gonzalez"</f>
        <v>Gonzalez</v>
      </c>
      <c r="C236" s="2" t="str">
        <f>"Fundación CARTIF"</f>
        <v>Fundación CARTIF</v>
      </c>
      <c r="D236" s="2" t="str">
        <f>"Spain"</f>
        <v>Spain</v>
      </c>
    </row>
    <row r="237" spans="1:4" ht="12.75">
      <c r="A237" s="2" t="str">
        <f>"Teresa"</f>
        <v>Teresa</v>
      </c>
      <c r="B237" s="2" t="str">
        <f>"Gonzalez"</f>
        <v>Gonzalez</v>
      </c>
      <c r="C237" s="2" t="str">
        <f>"FUOC"</f>
        <v>FUOC</v>
      </c>
      <c r="D237" s="2" t="str">
        <f>"Spain"</f>
        <v>Spain</v>
      </c>
    </row>
    <row r="238" spans="1:4" ht="12.75">
      <c r="A238" s="2" t="str">
        <f>"Raul"</f>
        <v>Raul</v>
      </c>
      <c r="B238" s="2" t="str">
        <f>"Gonzalez Prats"</f>
        <v>Gonzalez Prats</v>
      </c>
      <c r="C238" s="2" t="str">
        <f>"abertis telecom"</f>
        <v>abertis telecom</v>
      </c>
      <c r="D238" s="2" t="str">
        <f>"Spain"</f>
        <v>Spain</v>
      </c>
    </row>
    <row r="239" spans="1:4" ht="38.25">
      <c r="A239" s="4" t="s">
        <v>120</v>
      </c>
      <c r="B239" s="4" t="s">
        <v>121</v>
      </c>
      <c r="C239" s="5" t="s">
        <v>122</v>
      </c>
      <c r="D239" s="4"/>
    </row>
    <row r="240" spans="1:4" ht="12.75">
      <c r="A240" s="3" t="s">
        <v>123</v>
      </c>
      <c r="B240" s="3" t="s">
        <v>124</v>
      </c>
      <c r="C240" s="12" t="s">
        <v>9</v>
      </c>
      <c r="D240" s="3"/>
    </row>
    <row r="241" spans="1:4" ht="12.75">
      <c r="A241" s="2" t="str">
        <f>"elisabetta"</f>
        <v>elisabetta</v>
      </c>
      <c r="B241" s="2" t="str">
        <f>"grigoletto"</f>
        <v>grigoletto</v>
      </c>
      <c r="C241" s="2" t="str">
        <f>"euris srl"</f>
        <v>euris srl</v>
      </c>
      <c r="D241" s="2" t="str">
        <f>"Italy"</f>
        <v>Italy</v>
      </c>
    </row>
    <row r="242" spans="1:4" ht="38.25">
      <c r="A242" s="2" t="str">
        <f>"Elena"</f>
        <v>Elena</v>
      </c>
      <c r="B242" s="2" t="str">
        <f>"Gurrea"</f>
        <v>Gurrea</v>
      </c>
      <c r="C242" s="2" t="str">
        <f>"Fundación Comunidad Valenciana-Región Europea"</f>
        <v>Fundación Comunidad Valenciana-Región Europea</v>
      </c>
      <c r="D242" s="2" t="str">
        <f>"Belgium"</f>
        <v>Belgium</v>
      </c>
    </row>
    <row r="243" spans="1:4" ht="12.75">
      <c r="A243" s="2" t="str">
        <f>"Sara"</f>
        <v>Sara</v>
      </c>
      <c r="B243" s="2" t="str">
        <f>"Gutiérrez-Lanza"</f>
        <v>Gutiérrez-Lanza</v>
      </c>
      <c r="C243" s="2" t="str">
        <f>"GMV"</f>
        <v>GMV</v>
      </c>
      <c r="D243" s="2" t="str">
        <f>"Spain"</f>
        <v>Spain</v>
      </c>
    </row>
    <row r="244" spans="1:4" ht="12.75">
      <c r="A244" s="3" t="s">
        <v>125</v>
      </c>
      <c r="B244" s="3" t="s">
        <v>126</v>
      </c>
      <c r="C244" s="12" t="s">
        <v>127</v>
      </c>
      <c r="D244" s="3"/>
    </row>
    <row r="245" spans="1:4" ht="25.5">
      <c r="A245" s="2" t="str">
        <f>"Wouter"</f>
        <v>Wouter</v>
      </c>
      <c r="B245" s="2" t="str">
        <f>"Haerick"</f>
        <v>Haerick</v>
      </c>
      <c r="C245" s="2" t="str">
        <f>"University of Ghent - IBBT"</f>
        <v>University of Ghent - IBBT</v>
      </c>
      <c r="D245" s="2" t="str">
        <f>"Belgium"</f>
        <v>Belgium</v>
      </c>
    </row>
    <row r="246" spans="1:4" ht="25.5">
      <c r="A246" s="2" t="str">
        <f>"Kjell"</f>
        <v>Kjell</v>
      </c>
      <c r="B246" s="2" t="str">
        <f>"Hansteen"</f>
        <v>Hansteen</v>
      </c>
      <c r="C246" s="2" t="str">
        <f>"Hansteen Consulting AS"</f>
        <v>Hansteen Consulting AS</v>
      </c>
      <c r="D246" s="2" t="str">
        <f>"Norway"</f>
        <v>Norway</v>
      </c>
    </row>
    <row r="247" spans="1:4" ht="25.5">
      <c r="A247" s="2" t="str">
        <f>"John"</f>
        <v>John</v>
      </c>
      <c r="B247" s="2" t="str">
        <f>"Heaven"</f>
        <v>Heaven</v>
      </c>
      <c r="C247" s="2" t="str">
        <f>"TuTech Innovation GmbH"</f>
        <v>TuTech Innovation GmbH</v>
      </c>
      <c r="D247" s="2" t="str">
        <f>"Germany"</f>
        <v>Germany</v>
      </c>
    </row>
    <row r="248" spans="1:4" ht="12.75">
      <c r="A248" s="2" t="str">
        <f>"Anu"</f>
        <v>Anu</v>
      </c>
      <c r="B248" s="2" t="str">
        <f>"Heinonen"</f>
        <v>Heinonen</v>
      </c>
      <c r="C248" s="2" t="str">
        <f>"Helsinki EU Office"</f>
        <v>Helsinki EU Office</v>
      </c>
      <c r="D248" s="2">
        <f>""</f>
      </c>
    </row>
    <row r="249" spans="1:4" ht="25.5">
      <c r="A249" s="2" t="str">
        <f>"Mathieu"</f>
        <v>Mathieu</v>
      </c>
      <c r="B249" s="2" t="str">
        <f>"Henceval"</f>
        <v>Henceval</v>
      </c>
      <c r="C249" s="2" t="str">
        <f>"Euroregion Pyrenees-Mediterranean"</f>
        <v>Euroregion Pyrenees-Mediterranean</v>
      </c>
      <c r="D249" s="2" t="str">
        <f>"France"</f>
        <v>France</v>
      </c>
    </row>
    <row r="250" spans="1:4" ht="12.75">
      <c r="A250" s="2" t="str">
        <f>"Ken"</f>
        <v>Ken</v>
      </c>
      <c r="B250" s="2" t="str">
        <f>"Hendriks"</f>
        <v>Hendriks</v>
      </c>
      <c r="C250" s="2" t="str">
        <f>"ISCM Vlaanderen"</f>
        <v>ISCM Vlaanderen</v>
      </c>
      <c r="D250" s="2" t="str">
        <f>"Belgium"</f>
        <v>Belgium</v>
      </c>
    </row>
    <row r="251" spans="1:4" ht="12.75">
      <c r="A251" s="2" t="str">
        <f>"Paul"</f>
        <v>Paul</v>
      </c>
      <c r="B251" s="2" t="str">
        <f>"Hermans"</f>
        <v>Hermans</v>
      </c>
      <c r="C251" s="2" t="str">
        <f>"ProXML"</f>
        <v>ProXML</v>
      </c>
      <c r="D251" s="2" t="str">
        <f>"Belgium"</f>
        <v>Belgium</v>
      </c>
    </row>
    <row r="252" spans="1:4" ht="12.75">
      <c r="A252" s="3" t="s">
        <v>128</v>
      </c>
      <c r="B252" s="3" t="s">
        <v>129</v>
      </c>
      <c r="C252" s="12" t="s">
        <v>130</v>
      </c>
      <c r="D252" s="3"/>
    </row>
    <row r="253" spans="1:4" ht="38.25">
      <c r="A253" s="2" t="str">
        <f>"Patricia"</f>
        <v>Patricia</v>
      </c>
      <c r="B253" s="2" t="str">
        <f>"Hernandez"</f>
        <v>Hernandez</v>
      </c>
      <c r="C253" s="2" t="str">
        <f>"Nowadays student of the last year of my degree"</f>
        <v>Nowadays student of the last year of my degree</v>
      </c>
      <c r="D253" s="2" t="str">
        <f>"Spain"</f>
        <v>Spain</v>
      </c>
    </row>
    <row r="254" spans="1:4" ht="38.25">
      <c r="A254" s="2" t="str">
        <f>"Laura"</f>
        <v>Laura</v>
      </c>
      <c r="B254" s="2" t="str">
        <f>"Hernández"</f>
        <v>Hernández</v>
      </c>
      <c r="C254" s="2" t="str">
        <f>"Oficina de la Región de Murcia en Bruselas"</f>
        <v>Oficina de la Región de Murcia en Bruselas</v>
      </c>
      <c r="D254" s="2" t="str">
        <f>"Spain"</f>
        <v>Spain</v>
      </c>
    </row>
    <row r="255" spans="1:4" ht="12.75">
      <c r="A255" s="2" t="str">
        <f>"Ana"</f>
        <v>Ana</v>
      </c>
      <c r="B255" s="2" t="str">
        <f>"HERRERA-ALCUBILLA"</f>
        <v>HERRERA-ALCUBILLA</v>
      </c>
      <c r="C255" s="2" t="str">
        <f>"GMV"</f>
        <v>GMV</v>
      </c>
      <c r="D255" s="2" t="str">
        <f>"Spain"</f>
        <v>Spain</v>
      </c>
    </row>
    <row r="256" spans="1:4" ht="12.75">
      <c r="A256" s="3" t="s">
        <v>70</v>
      </c>
      <c r="B256" s="3" t="s">
        <v>131</v>
      </c>
      <c r="C256" s="12" t="s">
        <v>132</v>
      </c>
      <c r="D256" s="3"/>
    </row>
    <row r="257" spans="1:4" ht="12.75">
      <c r="A257" s="2" t="str">
        <f>"Jan Jacob"</f>
        <v>Jan Jacob</v>
      </c>
      <c r="B257" s="2" t="str">
        <f>"Hilberdink"</f>
        <v>Hilberdink</v>
      </c>
      <c r="C257" s="2" t="str">
        <f>"WizzBizz B.V"</f>
        <v>WizzBizz B.V</v>
      </c>
      <c r="D257" s="2" t="str">
        <f>"Netherlands"</f>
        <v>Netherlands</v>
      </c>
    </row>
    <row r="258" spans="1:4" ht="12.75">
      <c r="A258" s="2" t="str">
        <f>"Stefan"</f>
        <v>Stefan</v>
      </c>
      <c r="B258" s="2" t="str">
        <f>"Hillesheim"</f>
        <v>Hillesheim</v>
      </c>
      <c r="C258" s="2" t="str">
        <f>"DLR e.V."</f>
        <v>DLR e.V.</v>
      </c>
      <c r="D258" s="2" t="str">
        <f>"Germany"</f>
        <v>Germany</v>
      </c>
    </row>
    <row r="259" spans="1:4" ht="25.5">
      <c r="A259" s="2" t="str">
        <f>"Daniel"</f>
        <v>Daniel</v>
      </c>
      <c r="B259" s="2" t="str">
        <f>"Holweg"</f>
        <v>Holweg</v>
      </c>
      <c r="C259" s="2" t="str">
        <f>"M.O.S.S. Computer Grafik Systeme GmbH"</f>
        <v>M.O.S.S. Computer Grafik Systeme GmbH</v>
      </c>
      <c r="D259" s="2" t="str">
        <f>"Germany"</f>
        <v>Germany</v>
      </c>
    </row>
    <row r="260" spans="1:4" ht="12.75">
      <c r="A260" s="2" t="str">
        <f>"Will"</f>
        <v>Will</v>
      </c>
      <c r="B260" s="2" t="str">
        <f>"Hornick"</f>
        <v>Hornick</v>
      </c>
      <c r="C260" s="2" t="str">
        <f>"Epposi"</f>
        <v>Epposi</v>
      </c>
      <c r="D260" s="2" t="str">
        <f>"Belgium"</f>
        <v>Belgium</v>
      </c>
    </row>
    <row r="261" spans="1:4" ht="12.75">
      <c r="A261" s="2" t="str">
        <f>"Nadya"</f>
        <v>Nadya</v>
      </c>
      <c r="B261" s="2" t="str">
        <f>"Ilieva"</f>
        <v>Ilieva</v>
      </c>
      <c r="C261" s="2" t="str">
        <f>"Consulta Europa"</f>
        <v>Consulta Europa</v>
      </c>
      <c r="D261" s="2">
        <f>""</f>
      </c>
    </row>
    <row r="262" spans="1:4" ht="12.75">
      <c r="A262" s="2" t="str">
        <f>"Yannick"</f>
        <v>Yannick</v>
      </c>
      <c r="B262" s="2" t="str">
        <f>"INREP"</f>
        <v>INREP</v>
      </c>
      <c r="C262" s="2" t="str">
        <f>"eNovae Consultants"</f>
        <v>eNovae Consultants</v>
      </c>
      <c r="D262" s="2" t="str">
        <f>"France"</f>
        <v>France</v>
      </c>
    </row>
    <row r="263" spans="1:4" ht="38.25">
      <c r="A263" s="2" t="str">
        <f>"Tiziano"</f>
        <v>Tiziano</v>
      </c>
      <c r="B263" s="2" t="str">
        <f>"Inzerilli"</f>
        <v>Inzerilli</v>
      </c>
      <c r="C263" s="2" t="str">
        <f>"Italian Ministry of Economic Development"</f>
        <v>Italian Ministry of Economic Development</v>
      </c>
      <c r="D263" s="2" t="str">
        <f>"Italy"</f>
        <v>Italy</v>
      </c>
    </row>
    <row r="264" spans="1:4" ht="25.5">
      <c r="A264" s="2" t="str">
        <f>"Daniel"</f>
        <v>Daniel</v>
      </c>
      <c r="B264" s="2" t="str">
        <f>"Iscru"</f>
        <v>Iscru</v>
      </c>
      <c r="C264" s="2" t="str">
        <f>"Teamnet International"</f>
        <v>Teamnet International</v>
      </c>
      <c r="D264" s="2" t="str">
        <f>"Belgium"</f>
        <v>Belgium</v>
      </c>
    </row>
    <row r="265" spans="1:4" ht="12.75">
      <c r="A265" s="2" t="str">
        <f>"Irina"</f>
        <v>Irina</v>
      </c>
      <c r="B265" s="2" t="str">
        <f>"Ivascenko"</f>
        <v>Ivascenko</v>
      </c>
      <c r="C265" s="2" t="str">
        <f>"Lattelecom Ltd."</f>
        <v>Lattelecom Ltd.</v>
      </c>
      <c r="D265" s="2" t="str">
        <f>"Latvia"</f>
        <v>Latvia</v>
      </c>
    </row>
    <row r="266" spans="1:4" ht="12.75">
      <c r="A266" s="2" t="str">
        <f>"Antti"</f>
        <v>Antti</v>
      </c>
      <c r="B266" s="2" t="str">
        <f>"Jakobsson"</f>
        <v>Jakobsson</v>
      </c>
      <c r="C266" s="2" t="str">
        <f>"EuroGeographics"</f>
        <v>EuroGeographics</v>
      </c>
      <c r="D266" s="2" t="str">
        <f>"Belgium"</f>
        <v>Belgium</v>
      </c>
    </row>
    <row r="267" spans="1:4" ht="38.25">
      <c r="A267" s="2" t="str">
        <f>"Dusan"</f>
        <v>Dusan</v>
      </c>
      <c r="B267" s="2" t="str">
        <f>"Jakovljevic"</f>
        <v>Jakovljevic</v>
      </c>
      <c r="C267" s="2" t="str">
        <f>"Energy Efficiency in Industrial Processes (EEIP)"</f>
        <v>Energy Efficiency in Industrial Processes (EEIP)</v>
      </c>
      <c r="D267" s="2" t="str">
        <f>"Belgium"</f>
        <v>Belgium</v>
      </c>
    </row>
    <row r="268" spans="1:4" ht="25.5">
      <c r="A268" s="2" t="str">
        <f>"Toni"</f>
        <v>Toni</v>
      </c>
      <c r="B268" s="2" t="str">
        <f>"Janka"</f>
        <v>Janka</v>
      </c>
      <c r="C268" s="2" t="str">
        <f>"West Finland European Office"</f>
        <v>West Finland European Office</v>
      </c>
      <c r="D268" s="2" t="str">
        <f>"Finland"</f>
        <v>Finland</v>
      </c>
    </row>
    <row r="269" spans="1:4" ht="12.75">
      <c r="A269" s="2" t="str">
        <f>"Joerg"</f>
        <v>Joerg</v>
      </c>
      <c r="B269" s="2" t="str">
        <f>"Jenewein"</f>
        <v>Jenewein</v>
      </c>
      <c r="C269" s="2" t="str">
        <f>"Merck Serono"</f>
        <v>Merck Serono</v>
      </c>
      <c r="D269" s="2" t="str">
        <f>"Switzerland"</f>
        <v>Switzerland</v>
      </c>
    </row>
    <row r="270" spans="1:4" ht="12.75">
      <c r="A270" s="3" t="s">
        <v>133</v>
      </c>
      <c r="B270" s="3" t="s">
        <v>134</v>
      </c>
      <c r="C270" s="12" t="s">
        <v>135</v>
      </c>
      <c r="D270" s="3"/>
    </row>
    <row r="271" spans="1:4" ht="12.75">
      <c r="A271" s="2" t="str">
        <f>"Alicia"</f>
        <v>Alicia</v>
      </c>
      <c r="B271" s="2" t="str">
        <f>"Jimenez"</f>
        <v>Jimenez</v>
      </c>
      <c r="C271" s="2" t="str">
        <f>"Wellness Telecom"</f>
        <v>Wellness Telecom</v>
      </c>
      <c r="D271" s="2" t="str">
        <f>"Spain"</f>
        <v>Spain</v>
      </c>
    </row>
    <row r="272" spans="1:4" ht="25.5">
      <c r="A272" s="2" t="str">
        <f>"Susan Jane"</f>
        <v>Susan Jane</v>
      </c>
      <c r="B272" s="2" t="str">
        <f>"Jones"</f>
        <v>Jones</v>
      </c>
      <c r="C272" s="2" t="str">
        <f>"University of Sunderland"</f>
        <v>University of Sunderland</v>
      </c>
      <c r="D272" s="2" t="str">
        <f>"United Kingdom"</f>
        <v>United Kingdom</v>
      </c>
    </row>
    <row r="273" spans="1:4" ht="12.75">
      <c r="A273" s="2" t="str">
        <f>"Bart"</f>
        <v>Bart</v>
      </c>
      <c r="B273" s="2" t="str">
        <f>"Jordi"</f>
        <v>Jordi</v>
      </c>
      <c r="C273" s="2" t="str">
        <f>"Balance"</f>
        <v>Balance</v>
      </c>
      <c r="D273" s="2" t="str">
        <f>"Netherlands"</f>
        <v>Netherlands</v>
      </c>
    </row>
    <row r="274" spans="1:4" ht="12.75">
      <c r="A274" s="2" t="str">
        <f>"Frédéric"</f>
        <v>Frédéric</v>
      </c>
      <c r="B274" s="2" t="str">
        <f>"Jourdain"</f>
        <v>Jourdain</v>
      </c>
      <c r="C274" s="2" t="str">
        <f>"Infopole Cluster TIC"</f>
        <v>Infopole Cluster TIC</v>
      </c>
      <c r="D274" s="2" t="str">
        <f>"Belgium"</f>
        <v>Belgium</v>
      </c>
    </row>
    <row r="275" spans="1:4" ht="38.25">
      <c r="A275" s="2" t="str">
        <f>"Amaia"</f>
        <v>Amaia</v>
      </c>
      <c r="B275" s="2" t="str">
        <f>"Juanicotena"</f>
        <v>Juanicotena</v>
      </c>
      <c r="C275" s="2" t="str">
        <f>"Delegation of the Government of Navarra in Brussels"</f>
        <v>Delegation of the Government of Navarra in Brussels</v>
      </c>
      <c r="D275" s="2" t="str">
        <f>"Spain"</f>
        <v>Spain</v>
      </c>
    </row>
    <row r="276" spans="1:4" ht="12.75">
      <c r="A276" s="2" t="str">
        <f>"Raul"</f>
        <v>Raul</v>
      </c>
      <c r="B276" s="2" t="str">
        <f>"Junqueiro"</f>
        <v>Junqueiro</v>
      </c>
      <c r="C276" s="2" t="str">
        <f>"Portugal Telecom"</f>
        <v>Portugal Telecom</v>
      </c>
      <c r="D276" s="2" t="str">
        <f>"Portugal"</f>
        <v>Portugal</v>
      </c>
    </row>
    <row r="277" spans="1:4" ht="12.75">
      <c r="A277" s="2" t="str">
        <f>"Jan"</f>
        <v>Jan</v>
      </c>
      <c r="B277" s="2" t="str">
        <f>"Kaczmarek"</f>
        <v>Kaczmarek</v>
      </c>
      <c r="C277" s="2" t="str">
        <f>"MOST Foundation"</f>
        <v>MOST Foundation</v>
      </c>
      <c r="D277" s="2" t="str">
        <f>"Poland"</f>
        <v>Poland</v>
      </c>
    </row>
    <row r="278" spans="1:4" ht="25.5">
      <c r="A278" s="2" t="str">
        <f>"Max"</f>
        <v>Max</v>
      </c>
      <c r="B278" s="2" t="str">
        <f>"Kaiser"</f>
        <v>Kaiser</v>
      </c>
      <c r="C278" s="2" t="str">
        <f>"Austrian National Library"</f>
        <v>Austrian National Library</v>
      </c>
      <c r="D278" s="2" t="str">
        <f>"Austria"</f>
        <v>Austria</v>
      </c>
    </row>
    <row r="279" spans="1:4" ht="12.75">
      <c r="A279" s="2" t="str">
        <f>"Kostas"</f>
        <v>Kostas</v>
      </c>
      <c r="B279" s="2" t="str">
        <f>"Kalaboukas"</f>
        <v>Kalaboukas</v>
      </c>
      <c r="C279" s="2" t="str">
        <f>"SingularLogic"</f>
        <v>SingularLogic</v>
      </c>
      <c r="D279" s="2" t="str">
        <f>"Greece"</f>
        <v>Greece</v>
      </c>
    </row>
    <row r="280" spans="1:4" ht="12.75">
      <c r="A280" s="2" t="str">
        <f>"Athanasia"</f>
        <v>Athanasia</v>
      </c>
      <c r="B280" s="2" t="str">
        <f>"KANLI"</f>
        <v>KANLI</v>
      </c>
      <c r="C280" s="2" t="str">
        <f>"Bristol-Myers Squibb"</f>
        <v>Bristol-Myers Squibb</v>
      </c>
      <c r="D280" s="2" t="str">
        <f>"Belgium"</f>
        <v>Belgium</v>
      </c>
    </row>
    <row r="281" spans="1:4" ht="12.75">
      <c r="A281" s="3" t="s">
        <v>136</v>
      </c>
      <c r="B281" s="3" t="s">
        <v>137</v>
      </c>
      <c r="C281" s="12" t="s">
        <v>89</v>
      </c>
      <c r="D281" s="3"/>
    </row>
    <row r="282" spans="1:4" ht="38.25">
      <c r="A282" s="2" t="str">
        <f>"Sven"</f>
        <v>Sven</v>
      </c>
      <c r="B282" s="2" t="str">
        <f>"Karge"</f>
        <v>Karge</v>
      </c>
      <c r="C282" s="2" t="str">
        <f>"eco - Association of the German Internet Industry"</f>
        <v>eco - Association of the German Internet Industry</v>
      </c>
      <c r="D282" s="2" t="str">
        <f>"Germany"</f>
        <v>Germany</v>
      </c>
    </row>
    <row r="283" spans="1:4" ht="25.5">
      <c r="A283" s="2" t="str">
        <f>"Emilia"</f>
        <v>Emilia</v>
      </c>
      <c r="B283" s="2" t="str">
        <f>"Karwasińska"</f>
        <v>Karwasińska</v>
      </c>
      <c r="C283" s="2" t="str">
        <f>"Adam Mickiewicz University"</f>
        <v>Adam Mickiewicz University</v>
      </c>
      <c r="D283" s="2" t="str">
        <f>"Poland"</f>
        <v>Poland</v>
      </c>
    </row>
    <row r="284" spans="1:4" ht="25.5">
      <c r="A284" s="2" t="str">
        <f>"Piotr"</f>
        <v>Piotr</v>
      </c>
      <c r="B284" s="2" t="str">
        <f>"Karwasiński"</f>
        <v>Karwasiński</v>
      </c>
      <c r="C284" s="2" t="str">
        <f>"Adam Mickiewicz University"</f>
        <v>Adam Mickiewicz University</v>
      </c>
      <c r="D284" s="2" t="str">
        <f>"Poland"</f>
        <v>Poland</v>
      </c>
    </row>
    <row r="285" spans="1:4" ht="25.5">
      <c r="A285" s="2" t="str">
        <f>"Martin"</f>
        <v>Martin</v>
      </c>
      <c r="B285" s="2" t="str">
        <f>"Kasparek"</f>
        <v>Kasparek</v>
      </c>
      <c r="C285" s="2" t="str">
        <f>"Technology Centre AS CR (CZELO)"</f>
        <v>Technology Centre AS CR (CZELO)</v>
      </c>
      <c r="D285" s="2" t="str">
        <f>"Belgium"</f>
        <v>Belgium</v>
      </c>
    </row>
    <row r="286" spans="1:4" ht="38.25">
      <c r="A286" s="2" t="str">
        <f>"Sergii"</f>
        <v>Sergii</v>
      </c>
      <c r="B286" s="2" t="str">
        <f>"Kavun"</f>
        <v>Kavun</v>
      </c>
      <c r="C286" s="2" t="str">
        <f>"Kharkiv National University of Economics"</f>
        <v>Kharkiv National University of Economics</v>
      </c>
      <c r="D286" s="2" t="str">
        <f>"Ukraine"</f>
        <v>Ukraine</v>
      </c>
    </row>
    <row r="287" spans="1:4" ht="12.75">
      <c r="A287" s="2" t="str">
        <f>"Gabor"</f>
        <v>Gabor</v>
      </c>
      <c r="B287" s="2" t="str">
        <f>"Kecskemeti"</f>
        <v>Kecskemeti</v>
      </c>
      <c r="C287" s="2" t="str">
        <f>"MTA-SZTAKI"</f>
        <v>MTA-SZTAKI</v>
      </c>
      <c r="D287" s="2" t="str">
        <f>"Hungary"</f>
        <v>Hungary</v>
      </c>
    </row>
    <row r="288" spans="1:4" ht="12.75">
      <c r="A288" s="3" t="s">
        <v>138</v>
      </c>
      <c r="B288" s="3" t="s">
        <v>139</v>
      </c>
      <c r="C288" s="12" t="s">
        <v>140</v>
      </c>
      <c r="D288" s="3" t="s">
        <v>141</v>
      </c>
    </row>
    <row r="289" spans="1:4" ht="25.5">
      <c r="A289" s="2" t="str">
        <f>"Rose Anne"</f>
        <v>Rose Anne</v>
      </c>
      <c r="B289" s="2" t="str">
        <f>"Kenny"</f>
        <v>Kenny</v>
      </c>
      <c r="C289" s="2" t="str">
        <f>"University of Dublin Trinity College"</f>
        <v>University of Dublin Trinity College</v>
      </c>
      <c r="D289" s="2" t="str">
        <f>"Ireland"</f>
        <v>Ireland</v>
      </c>
    </row>
    <row r="290" spans="1:4" ht="12.75">
      <c r="A290" s="2" t="str">
        <f>"Hugo"</f>
        <v>Hugo</v>
      </c>
      <c r="B290" s="2" t="str">
        <f>"Kerschot"</f>
        <v>Kerschot</v>
      </c>
      <c r="C290" s="2" t="str">
        <f>"IS-practice"</f>
        <v>IS-practice</v>
      </c>
      <c r="D290" s="2" t="str">
        <f>"Belgium"</f>
        <v>Belgium</v>
      </c>
    </row>
    <row r="291" spans="1:4" ht="12.75">
      <c r="A291" s="2" t="str">
        <f>"Philip"</f>
        <v>Philip</v>
      </c>
      <c r="B291" s="2" t="str">
        <f>"Kitzmantel"</f>
        <v>Kitzmantel</v>
      </c>
      <c r="C291" s="2" t="str">
        <f>"European Commission"</f>
        <v>European Commission</v>
      </c>
      <c r="D291" s="2" t="str">
        <f>"Belgium"</f>
        <v>Belgium</v>
      </c>
    </row>
    <row r="292" spans="1:4" ht="25.5">
      <c r="A292" s="2" t="str">
        <f>"Joris"</f>
        <v>Joris</v>
      </c>
      <c r="B292" s="2" t="str">
        <f>"Klerkx"</f>
        <v>Klerkx</v>
      </c>
      <c r="C292" s="2" t="str">
        <f>"Katholieke Universiteit Leuven"</f>
        <v>Katholieke Universiteit Leuven</v>
      </c>
      <c r="D292" s="2" t="str">
        <f>"Belgium"</f>
        <v>Belgium</v>
      </c>
    </row>
    <row r="293" spans="1:4" ht="12.75">
      <c r="A293" s="2" t="str">
        <f>"YIANNIS"</f>
        <v>YIANNIS</v>
      </c>
      <c r="B293" s="2" t="str">
        <f>"KLIAFAS"</f>
        <v>KLIAFAS</v>
      </c>
      <c r="C293" s="2" t="str">
        <f>"ATC S.A."</f>
        <v>ATC S.A.</v>
      </c>
      <c r="D293" s="2" t="str">
        <f>"Greece"</f>
        <v>Greece</v>
      </c>
    </row>
    <row r="294" spans="1:4" ht="12.75">
      <c r="A294" s="3" t="s">
        <v>142</v>
      </c>
      <c r="B294" s="3" t="s">
        <v>143</v>
      </c>
      <c r="C294" s="12" t="s">
        <v>144</v>
      </c>
      <c r="D294" s="3"/>
    </row>
    <row r="295" spans="1:4" ht="12.75">
      <c r="A295" s="2" t="str">
        <f>"Rob"</f>
        <v>Rob</v>
      </c>
      <c r="B295" s="2" t="str">
        <f>"Kloots"</f>
        <v>Kloots</v>
      </c>
      <c r="C295" s="2" t="str">
        <f>"TrustingtheCloud"</f>
        <v>TrustingtheCloud</v>
      </c>
      <c r="D295" s="2" t="str">
        <f>"Belgium"</f>
        <v>Belgium</v>
      </c>
    </row>
    <row r="296" spans="1:4" ht="38.25">
      <c r="A296" s="2" t="str">
        <f>"Ferenc"</f>
        <v>Ferenc</v>
      </c>
      <c r="B296" s="2" t="str">
        <f>"Kneisz"</f>
        <v>Kneisz</v>
      </c>
      <c r="C296" s="2" t="str">
        <f>"Ministry of National Development State Secretariat for ICT"</f>
        <v>Ministry of National Development State Secretariat for ICT</v>
      </c>
      <c r="D296" s="2" t="str">
        <f>"Hungary"</f>
        <v>Hungary</v>
      </c>
    </row>
    <row r="297" spans="1:4" ht="12.75">
      <c r="A297" s="2" t="str">
        <f>"Djilali"</f>
        <v>Djilali</v>
      </c>
      <c r="B297" s="2" t="str">
        <f>"KOHLI"</f>
        <v>KOHLI</v>
      </c>
      <c r="C297" s="2" t="str">
        <f>"KURT SALMON"</f>
        <v>KURT SALMON</v>
      </c>
      <c r="D297" s="2" t="str">
        <f>"Belgium"</f>
        <v>Belgium</v>
      </c>
    </row>
    <row r="298" spans="1:4" ht="12.75">
      <c r="A298" s="2" t="str">
        <f>"Dimitrios"</f>
        <v>Dimitrios</v>
      </c>
      <c r="B298" s="2" t="str">
        <f>"Kontakis"</f>
        <v>Kontakis</v>
      </c>
      <c r="C298" s="2" t="str">
        <f>"Cognitive Space"</f>
        <v>Cognitive Space</v>
      </c>
      <c r="D298" s="2" t="str">
        <f>"Greece"</f>
        <v>Greece</v>
      </c>
    </row>
    <row r="299" spans="1:4" ht="38.25">
      <c r="A299" s="2" t="str">
        <f>"Eleni"</f>
        <v>Eleni</v>
      </c>
      <c r="B299" s="2" t="str">
        <f>"Koulocheri"</f>
        <v>Koulocheri</v>
      </c>
      <c r="C299" s="2" t="str">
        <f>"National Center for Scientific Research Demokritos"</f>
        <v>National Center for Scientific Research Demokritos</v>
      </c>
      <c r="D299" s="2" t="str">
        <f>"Greece"</f>
        <v>Greece</v>
      </c>
    </row>
    <row r="300" spans="1:4" ht="25.5">
      <c r="A300" s="2" t="str">
        <f>"Magda"</f>
        <v>Magda</v>
      </c>
      <c r="B300" s="2" t="str">
        <f>"Kozak"</f>
        <v>Kozak</v>
      </c>
      <c r="C300" s="2" t="str">
        <f>"Pomorskie Regional EU Office"</f>
        <v>Pomorskie Regional EU Office</v>
      </c>
      <c r="D300" s="2">
        <f>""</f>
      </c>
    </row>
    <row r="301" spans="1:4" ht="25.5">
      <c r="A301" s="2" t="str">
        <f>"Horst"</f>
        <v>Horst</v>
      </c>
      <c r="B301" s="2" t="str">
        <f>"Krämer"</f>
        <v>Krämer</v>
      </c>
      <c r="C301" s="2" t="str">
        <f>"]init[ Digital Communication"</f>
        <v>]init[ Digital Communication</v>
      </c>
      <c r="D301" s="2" t="str">
        <f>"Belgium"</f>
        <v>Belgium</v>
      </c>
    </row>
    <row r="302" spans="1:4" ht="25.5">
      <c r="A302" s="4" t="s">
        <v>145</v>
      </c>
      <c r="B302" s="4" t="s">
        <v>146</v>
      </c>
      <c r="C302" s="5" t="s">
        <v>147</v>
      </c>
      <c r="D302" s="4"/>
    </row>
    <row r="303" spans="1:4" ht="25.5">
      <c r="A303" s="3" t="s">
        <v>148</v>
      </c>
      <c r="B303" s="3" t="s">
        <v>149</v>
      </c>
      <c r="C303" s="12" t="s">
        <v>150</v>
      </c>
      <c r="D303" s="3"/>
    </row>
    <row r="304" spans="1:4" ht="12.75">
      <c r="A304" s="2" t="str">
        <f>"Andreas"</f>
        <v>Andreas</v>
      </c>
      <c r="B304" s="2" t="str">
        <f>"Kuckartz"</f>
        <v>Kuckartz</v>
      </c>
      <c r="C304" s="2" t="str">
        <f>"QuinScape GmbH"</f>
        <v>QuinScape GmbH</v>
      </c>
      <c r="D304" s="2" t="str">
        <f>"Germany"</f>
        <v>Germany</v>
      </c>
    </row>
    <row r="305" spans="1:4" ht="12.75">
      <c r="A305" s="3" t="s">
        <v>151</v>
      </c>
      <c r="B305" s="3" t="s">
        <v>152</v>
      </c>
      <c r="C305" s="12" t="s">
        <v>153</v>
      </c>
      <c r="D305" s="3"/>
    </row>
    <row r="306" spans="1:4" ht="38.25">
      <c r="A306" s="2" t="str">
        <f>"Massimiliano"</f>
        <v>Massimiliano</v>
      </c>
      <c r="B306" s="2" t="str">
        <f>"Lacota"</f>
        <v>Lacota</v>
      </c>
      <c r="C306" s="2" t="str">
        <f>"European Union of Exiled and Expelled People - EUEEP"</f>
        <v>European Union of Exiled and Expelled People - EUEEP</v>
      </c>
      <c r="D306" s="2" t="str">
        <f>"Italy"</f>
        <v>Italy</v>
      </c>
    </row>
    <row r="307" spans="1:4" ht="12.75">
      <c r="A307" s="2" t="str">
        <f>"Yves"</f>
        <v>Yves</v>
      </c>
      <c r="B307" s="2" t="str">
        <f>"Lagoude"</f>
        <v>Lagoude</v>
      </c>
      <c r="C307" s="2" t="str">
        <f>"THALES"</f>
        <v>THALES</v>
      </c>
      <c r="D307" s="2" t="str">
        <f>"Belgium"</f>
        <v>Belgium</v>
      </c>
    </row>
    <row r="308" spans="1:4" ht="25.5">
      <c r="A308" s="2" t="str">
        <f>"Vasileios"</f>
        <v>Vasileios</v>
      </c>
      <c r="B308" s="2" t="str">
        <f>"Lampropoulos"</f>
        <v>Lampropoulos</v>
      </c>
      <c r="C308" s="2" t="str">
        <f>"Energy Efficiency in Industrial Processes"</f>
        <v>Energy Efficiency in Industrial Processes</v>
      </c>
      <c r="D308" s="2" t="str">
        <f>"Belgium"</f>
        <v>Belgium</v>
      </c>
    </row>
    <row r="309" spans="1:4" ht="12.75">
      <c r="A309" s="2" t="str">
        <f>"Nick"</f>
        <v>Nick</v>
      </c>
      <c r="B309" s="2" t="str">
        <f>"Land"</f>
        <v>Land</v>
      </c>
      <c r="C309" s="2" t="str">
        <f>"ESRI Inc"</f>
        <v>ESRI Inc</v>
      </c>
      <c r="D309" s="2">
        <f>""</f>
      </c>
    </row>
    <row r="310" spans="1:4" ht="12.75">
      <c r="A310" s="2" t="str">
        <f>"gonzalez"</f>
        <v>gonzalez</v>
      </c>
      <c r="B310" s="2" t="str">
        <f>"laurent"</f>
        <v>laurent</v>
      </c>
      <c r="C310" s="2" t="str">
        <f>"FILRFID"</f>
        <v>FILRFID</v>
      </c>
      <c r="D310" s="2" t="str">
        <f>"France"</f>
        <v>France</v>
      </c>
    </row>
    <row r="311" spans="1:4" ht="12.75">
      <c r="A311" s="2" t="str">
        <f>"Sabina"</f>
        <v>Sabina</v>
      </c>
      <c r="B311" s="2" t="str">
        <f>"Lazarova"</f>
        <v>Lazarova</v>
      </c>
      <c r="C311" s="2" t="str">
        <f>"Bulgarian Post PLC"</f>
        <v>Bulgarian Post PLC</v>
      </c>
      <c r="D311" s="2" t="str">
        <f>"Bulgaria"</f>
        <v>Bulgaria</v>
      </c>
    </row>
    <row r="312" spans="1:4" ht="12.75">
      <c r="A312" s="3" t="s">
        <v>154</v>
      </c>
      <c r="B312" s="3" t="s">
        <v>155</v>
      </c>
      <c r="C312" s="12" t="s">
        <v>156</v>
      </c>
      <c r="D312" s="3"/>
    </row>
    <row r="313" spans="1:4" ht="12.75">
      <c r="A313" s="2" t="str">
        <f>"Yann"</f>
        <v>Yann</v>
      </c>
      <c r="B313" s="2" t="str">
        <f>"Le Borgne"</f>
        <v>Le Borgne</v>
      </c>
      <c r="C313" s="2" t="str">
        <f>"Eurosmart"</f>
        <v>Eurosmart</v>
      </c>
      <c r="D313" s="2">
        <f>""</f>
      </c>
    </row>
    <row r="314" spans="1:4" ht="25.5">
      <c r="A314" s="2" t="str">
        <f>"Pablo"</f>
        <v>Pablo</v>
      </c>
      <c r="B314" s="2" t="str">
        <f>"Leal"</f>
        <v>Leal</v>
      </c>
      <c r="C314" s="2" t="str">
        <f>"Zabala Innovation Consulting"</f>
        <v>Zabala Innovation Consulting</v>
      </c>
      <c r="D314" s="2">
        <f>""</f>
      </c>
    </row>
    <row r="315" spans="1:4" ht="12.75">
      <c r="A315" s="2" t="str">
        <f>"Corrado"</f>
        <v>Corrado</v>
      </c>
      <c r="B315" s="2" t="str">
        <f>"Leita"</f>
        <v>Leita</v>
      </c>
      <c r="C315" s="2" t="str">
        <f>"Symantec"</f>
        <v>Symantec</v>
      </c>
      <c r="D315" s="2" t="str">
        <f>"France"</f>
        <v>France</v>
      </c>
    </row>
    <row r="316" spans="1:4" ht="12.75">
      <c r="A316" s="2" t="str">
        <f>"Giovanni"</f>
        <v>Giovanni</v>
      </c>
      <c r="B316" s="2" t="str">
        <f>"Leonori"</f>
        <v>Leonori</v>
      </c>
      <c r="C316" s="2" t="str">
        <f>"ANUSCA"</f>
        <v>ANUSCA</v>
      </c>
      <c r="D316" s="2" t="str">
        <f>"Italy"</f>
        <v>Italy</v>
      </c>
    </row>
    <row r="317" spans="1:4" ht="12.75">
      <c r="A317" s="3" t="s">
        <v>157</v>
      </c>
      <c r="B317" s="3" t="s">
        <v>158</v>
      </c>
      <c r="C317" s="12" t="s">
        <v>159</v>
      </c>
      <c r="D317" s="3"/>
    </row>
    <row r="318" spans="1:4" ht="25.5">
      <c r="A318" s="2" t="str">
        <f>"Cyril"</f>
        <v>Cyril</v>
      </c>
      <c r="B318" s="2" t="str">
        <f>"LIANCE"</f>
        <v>LIANCE</v>
      </c>
      <c r="C318" s="2" t="str">
        <f>"Méditerranée Technologies"</f>
        <v>Méditerranée Technologies</v>
      </c>
      <c r="D318" s="2" t="str">
        <f>"France"</f>
        <v>France</v>
      </c>
    </row>
    <row r="319" spans="1:4" ht="63.75">
      <c r="A319" s="2" t="str">
        <f>"Johan"</f>
        <v>Johan</v>
      </c>
      <c r="B319" s="2" t="str">
        <f>"Lindberg"</f>
        <v>Lindberg</v>
      </c>
      <c r="C319" s="2" t="str">
        <f>"The Swedish Governmental Agency for Innovation Systems (VINNOVA)"</f>
        <v>The Swedish Governmental Agency for Innovation Systems (VINNOVA)</v>
      </c>
      <c r="D319" s="2" t="str">
        <f>"Sweden"</f>
        <v>Sweden</v>
      </c>
    </row>
    <row r="320" spans="1:4" ht="25.5">
      <c r="A320" s="2" t="str">
        <f>"Mark"</f>
        <v>Mark</v>
      </c>
      <c r="B320" s="2" t="str">
        <f>"Lindeman"</f>
        <v>Lindeman</v>
      </c>
      <c r="C320" s="2" t="str">
        <f>"Pictura Database Publishing"</f>
        <v>Pictura Database Publishing</v>
      </c>
      <c r="D320" s="2" t="str">
        <f>"Netherlands"</f>
        <v>Netherlands</v>
      </c>
    </row>
    <row r="321" spans="1:4" ht="12.75">
      <c r="A321" s="2" t="str">
        <f>"Anka"</f>
        <v>Anka</v>
      </c>
      <c r="B321" s="2" t="str">
        <f>"Lipicnik"</f>
        <v>Lipicnik</v>
      </c>
      <c r="C321" s="2" t="str">
        <f>"Connet d.o.o."</f>
        <v>Connet d.o.o.</v>
      </c>
      <c r="D321" s="2" t="str">
        <f>"Slovenia"</f>
        <v>Slovenia</v>
      </c>
    </row>
    <row r="322" spans="1:4" ht="12.75">
      <c r="A322" s="2" t="str">
        <f>"Ales"</f>
        <v>Ales</v>
      </c>
      <c r="B322" s="2" t="str">
        <f>"Lipicnik"</f>
        <v>Lipicnik</v>
      </c>
      <c r="C322" s="2" t="str">
        <f>"CONNET"</f>
        <v>CONNET</v>
      </c>
      <c r="D322" s="2" t="str">
        <f>"Slovenia"</f>
        <v>Slovenia</v>
      </c>
    </row>
    <row r="323" spans="1:4" ht="12.75">
      <c r="A323" s="2" t="str">
        <f>"Geraldine"</f>
        <v>Geraldine</v>
      </c>
      <c r="B323" s="2" t="str">
        <f>"Lissalde Bonnet"</f>
        <v>Lissalde Bonnet</v>
      </c>
      <c r="C323" s="2" t="str">
        <f>"GS1 Global Office"</f>
        <v>GS1 Global Office</v>
      </c>
      <c r="D323" s="2" t="str">
        <f>"Belgium"</f>
        <v>Belgium</v>
      </c>
    </row>
    <row r="324" spans="1:4" ht="38.25">
      <c r="A324" s="2" t="str">
        <f>"Clotilde"</f>
        <v>Clotilde</v>
      </c>
      <c r="B324" s="2" t="str">
        <f>"Lombardi Satriani"</f>
        <v>Lombardi Satriani</v>
      </c>
      <c r="C324" s="2" t="str">
        <f>"Agenzia d?informazione Europea"</f>
        <v>Agenzia d?informazione Europea</v>
      </c>
      <c r="D324" s="2" t="str">
        <f>"Belgium"</f>
        <v>Belgium</v>
      </c>
    </row>
    <row r="325" spans="1:4" ht="12.75">
      <c r="A325" s="3" t="s">
        <v>160</v>
      </c>
      <c r="B325" s="3" t="s">
        <v>161</v>
      </c>
      <c r="C325" s="12" t="s">
        <v>162</v>
      </c>
      <c r="D325" s="3"/>
    </row>
    <row r="326" spans="1:4" ht="12.75">
      <c r="A326" s="2" t="str">
        <f>"Jose Joaquin"</f>
        <v>Jose Joaquin</v>
      </c>
      <c r="B326" s="2" t="str">
        <f>"Lopez"</f>
        <v>Lopez</v>
      </c>
      <c r="C326" s="2" t="str">
        <f>"ETICOM"</f>
        <v>ETICOM</v>
      </c>
      <c r="D326" s="2" t="str">
        <f>"Spain"</f>
        <v>Spain</v>
      </c>
    </row>
    <row r="327" spans="1:4" ht="12.75">
      <c r="A327" s="2" t="str">
        <f>"Irene"</f>
        <v>Irene</v>
      </c>
      <c r="B327" s="2" t="str">
        <f>"Lopez de Vallejo"</f>
        <v>Lopez de Vallejo</v>
      </c>
      <c r="C327" s="2" t="str">
        <f>"TEKNIKER IK4"</f>
        <v>TEKNIKER IK4</v>
      </c>
      <c r="D327" s="2" t="str">
        <f>"Spain"</f>
        <v>Spain</v>
      </c>
    </row>
    <row r="328" spans="1:4" ht="25.5">
      <c r="A328" s="2" t="str">
        <f>"Alessandro"</f>
        <v>Alessandro</v>
      </c>
      <c r="B328" s="2" t="str">
        <f>"Luè"</f>
        <v>Luè</v>
      </c>
      <c r="C328" s="2" t="str">
        <f>"Poliedra - Politecnico di Milano"</f>
        <v>Poliedra - Politecnico di Milano</v>
      </c>
      <c r="D328" s="2" t="str">
        <f>"Italy"</f>
        <v>Italy</v>
      </c>
    </row>
    <row r="329" spans="1:4" ht="25.5">
      <c r="A329" s="3" t="s">
        <v>163</v>
      </c>
      <c r="B329" s="3" t="s">
        <v>164</v>
      </c>
      <c r="C329" s="12" t="s">
        <v>165</v>
      </c>
      <c r="D329" s="3"/>
    </row>
    <row r="330" spans="1:4" ht="12.75">
      <c r="A330" s="2" t="str">
        <f>"Dick"</f>
        <v>Dick</v>
      </c>
      <c r="B330" s="2" t="str">
        <f>"Lyklema"</f>
        <v>Lyklema</v>
      </c>
      <c r="C330" s="2" t="str">
        <f>"INCAS3"</f>
        <v>INCAS3</v>
      </c>
      <c r="D330" s="2" t="str">
        <f>"Netherlands"</f>
        <v>Netherlands</v>
      </c>
    </row>
    <row r="331" spans="1:4" ht="12.75">
      <c r="A331" s="3" t="s">
        <v>166</v>
      </c>
      <c r="B331" s="3" t="s">
        <v>167</v>
      </c>
      <c r="C331" s="12" t="s">
        <v>168</v>
      </c>
      <c r="D331" s="3"/>
    </row>
    <row r="332" spans="1:4" ht="25.5">
      <c r="A332" s="3" t="s">
        <v>16</v>
      </c>
      <c r="B332" s="3" t="s">
        <v>169</v>
      </c>
      <c r="C332" s="12" t="s">
        <v>170</v>
      </c>
      <c r="D332" s="3"/>
    </row>
    <row r="333" spans="1:4" ht="12.75">
      <c r="A333" s="3" t="s">
        <v>171</v>
      </c>
      <c r="B333" s="3" t="s">
        <v>172</v>
      </c>
      <c r="C333" s="12" t="s">
        <v>173</v>
      </c>
      <c r="D333" s="3"/>
    </row>
    <row r="334" spans="1:4" ht="12.75">
      <c r="A334" s="2" t="str">
        <f>"Emoke"</f>
        <v>Emoke</v>
      </c>
      <c r="B334" s="2" t="str">
        <f>"Maembe"</f>
        <v>Maembe</v>
      </c>
      <c r="C334" s="2" t="str">
        <f>"European Commission"</f>
        <v>European Commission</v>
      </c>
      <c r="D334" s="2" t="str">
        <f>"Belgium"</f>
        <v>Belgium</v>
      </c>
    </row>
    <row r="335" spans="1:4" ht="12.75">
      <c r="A335" s="3" t="s">
        <v>174</v>
      </c>
      <c r="B335" s="3" t="s">
        <v>175</v>
      </c>
      <c r="C335" s="12" t="s">
        <v>176</v>
      </c>
      <c r="D335" s="3"/>
    </row>
    <row r="336" spans="1:4" ht="12.75">
      <c r="A336" s="2" t="str">
        <f>"Stavroula"</f>
        <v>Stavroula</v>
      </c>
      <c r="B336" s="2" t="str">
        <f>"Maglavera"</f>
        <v>Maglavera</v>
      </c>
      <c r="C336" s="2" t="str">
        <f>"CERTH"</f>
        <v>CERTH</v>
      </c>
      <c r="D336" s="2" t="str">
        <f>"Greece"</f>
        <v>Greece</v>
      </c>
    </row>
    <row r="337" spans="1:4" ht="12.75">
      <c r="A337" s="2" t="str">
        <f>"Adele"</f>
        <v>Adele</v>
      </c>
      <c r="B337" s="2" t="str">
        <f>"Magnelli"</f>
        <v>Magnelli</v>
      </c>
      <c r="C337" s="2" t="str">
        <f>"ETT"</f>
        <v>ETT</v>
      </c>
      <c r="D337" s="2" t="str">
        <f>"Italy"</f>
        <v>Italy</v>
      </c>
    </row>
    <row r="338" spans="1:4" ht="12.75">
      <c r="A338" s="3" t="s">
        <v>177</v>
      </c>
      <c r="B338" s="3" t="s">
        <v>178</v>
      </c>
      <c r="C338" s="12" t="s">
        <v>179</v>
      </c>
      <c r="D338" s="3"/>
    </row>
    <row r="339" spans="1:4" ht="25.5">
      <c r="A339" s="2" t="str">
        <f>"Rosella"</f>
        <v>Rosella</v>
      </c>
      <c r="B339" s="2" t="str">
        <f>"Marasco"</f>
        <v>Marasco</v>
      </c>
      <c r="C339" s="2" t="str">
        <f>"Confcommercio International"</f>
        <v>Confcommercio International</v>
      </c>
      <c r="D339" s="2" t="str">
        <f>"Belgium"</f>
        <v>Belgium</v>
      </c>
    </row>
    <row r="340" spans="1:4" ht="25.5">
      <c r="A340" s="2" t="str">
        <f>"Piotr"</f>
        <v>Piotr</v>
      </c>
      <c r="B340" s="2" t="str">
        <f>"Marcinkowski"</f>
        <v>Marcinkowski</v>
      </c>
      <c r="C340" s="2" t="str">
        <f>"Adam Mickiewicz University"</f>
        <v>Adam Mickiewicz University</v>
      </c>
      <c r="D340" s="2" t="str">
        <f>"Poland"</f>
        <v>Poland</v>
      </c>
    </row>
    <row r="341" spans="1:4" ht="12.75">
      <c r="A341" s="2" t="str">
        <f>"Jesus"</f>
        <v>Jesus</v>
      </c>
      <c r="B341" s="2" t="str">
        <f>"Marco"</f>
        <v>Marco</v>
      </c>
      <c r="C341" s="2" t="str">
        <f>"CSIC"</f>
        <v>CSIC</v>
      </c>
      <c r="D341" s="2" t="str">
        <f>"Spain"</f>
        <v>Spain</v>
      </c>
    </row>
    <row r="342" spans="1:4" ht="12.75">
      <c r="A342" s="2" t="str">
        <f>"mari"</f>
        <v>mari</v>
      </c>
      <c r="B342" s="2" t="str">
        <f>"mari"</f>
        <v>mari</v>
      </c>
      <c r="C342" s="2" t="str">
        <f>"ares"</f>
        <v>ares</v>
      </c>
      <c r="D342" s="2">
        <f>""</f>
      </c>
    </row>
    <row r="343" spans="1:4" ht="38.25">
      <c r="A343" s="2" t="str">
        <f>"Karel"</f>
        <v>Karel</v>
      </c>
      <c r="B343" s="2" t="str">
        <f>"Markus"</f>
        <v>Markus</v>
      </c>
      <c r="C343" s="2" t="str">
        <f>"Fund for Central and East European Book Projects"</f>
        <v>Fund for Central and East European Book Projects</v>
      </c>
      <c r="D343" s="2" t="str">
        <f>"Netherlands"</f>
        <v>Netherlands</v>
      </c>
    </row>
    <row r="344" spans="1:4" ht="51">
      <c r="A344" s="2" t="str">
        <f>"Marcos"</f>
        <v>Marcos</v>
      </c>
      <c r="B344" s="2" t="str">
        <f>"Marques"</f>
        <v>Marques</v>
      </c>
      <c r="C344" s="2" t="str">
        <f>"CEDT - Centre of Excellence for Dematerialization of Transactions"</f>
        <v>CEDT - Centre of Excellence for Dematerialization of Transactions</v>
      </c>
      <c r="D344" s="2" t="str">
        <f>"Portugal"</f>
        <v>Portugal</v>
      </c>
    </row>
    <row r="345" spans="1:4" ht="12.75">
      <c r="A345" s="2" t="str">
        <f>"Juan Carlos"</f>
        <v>Juan Carlos</v>
      </c>
      <c r="B345" s="2" t="str">
        <f>"Martinez Barrio"</f>
        <v>Martinez Barrio</v>
      </c>
      <c r="C345" s="2" t="str">
        <f>"CEEI-Burgos"</f>
        <v>CEEI-Burgos</v>
      </c>
      <c r="D345" s="2" t="str">
        <f>"Spain"</f>
        <v>Spain</v>
      </c>
    </row>
    <row r="346" spans="1:4" ht="25.5">
      <c r="A346" s="2" t="str">
        <f>"Gustavo"</f>
        <v>Gustavo</v>
      </c>
      <c r="B346" s="2" t="str">
        <f>"Martinie"</f>
        <v>Martinie</v>
      </c>
      <c r="C346" s="2" t="str">
        <f>"Valencian Regional Office"</f>
        <v>Valencian Regional Office</v>
      </c>
      <c r="D346" s="2" t="str">
        <f>"Spain"</f>
        <v>Spain</v>
      </c>
    </row>
    <row r="347" spans="1:4" ht="12.75">
      <c r="A347" s="3" t="s">
        <v>180</v>
      </c>
      <c r="B347" s="3" t="s">
        <v>181</v>
      </c>
      <c r="C347" s="12" t="s">
        <v>182</v>
      </c>
      <c r="D347" s="3"/>
    </row>
    <row r="348" spans="1:4" ht="12.75">
      <c r="A348" s="2" t="str">
        <f>"Damjan"</f>
        <v>Damjan</v>
      </c>
      <c r="B348" s="2" t="str">
        <f>"Maticic"</f>
        <v>Maticic</v>
      </c>
      <c r="C348" s="2" t="str">
        <f>"Xlab"</f>
        <v>Xlab</v>
      </c>
      <c r="D348" s="2" t="str">
        <f>"Slovenia"</f>
        <v>Slovenia</v>
      </c>
    </row>
    <row r="349" spans="1:4" ht="12.75">
      <c r="A349" s="2" t="str">
        <f>"Salvatore"</f>
        <v>Salvatore</v>
      </c>
      <c r="B349" s="2" t="str">
        <f>"Mattera"</f>
        <v>Mattera</v>
      </c>
      <c r="C349" s="2" t="str">
        <f>"Università Federico II"</f>
        <v>Università Federico II</v>
      </c>
      <c r="D349" s="2" t="str">
        <f>"Italy"</f>
        <v>Italy</v>
      </c>
    </row>
    <row r="350" spans="1:4" ht="38.25">
      <c r="A350" s="2" t="str">
        <f>"Mirco"</f>
        <v>Mirco</v>
      </c>
      <c r="B350" s="2" t="str">
        <f>"Mazzucato"</f>
        <v>Mazzucato</v>
      </c>
      <c r="C350" s="2" t="str">
        <f>"Istituto Nazionale di Fisica nucleare (INFN) and IGI"</f>
        <v>Istituto Nazionale di Fisica nucleare (INFN) and IGI</v>
      </c>
      <c r="D350" s="2" t="str">
        <f>"Italy"</f>
        <v>Italy</v>
      </c>
    </row>
    <row r="351" spans="1:4" ht="12.75">
      <c r="A351" s="2" t="str">
        <f>"Mark"</f>
        <v>Mark</v>
      </c>
      <c r="B351" s="2" t="str">
        <f>"McCrory"</f>
        <v>McCrory</v>
      </c>
      <c r="C351" s="2" t="str">
        <f>"Escher Group"</f>
        <v>Escher Group</v>
      </c>
      <c r="D351" s="2" t="str">
        <f>"Ireland"</f>
        <v>Ireland</v>
      </c>
    </row>
    <row r="352" spans="1:4" ht="25.5">
      <c r="A352" s="2" t="str">
        <f>"Olivier"</f>
        <v>Olivier</v>
      </c>
      <c r="B352" s="2" t="str">
        <f>"MEGEAN"</f>
        <v>MEGEAN</v>
      </c>
      <c r="C352" s="2" t="str">
        <f>"DAPD news wire services AG"</f>
        <v>DAPD news wire services AG</v>
      </c>
      <c r="D352" s="2">
        <f>""</f>
      </c>
    </row>
    <row r="353" spans="1:4" ht="38.25">
      <c r="A353" s="2" t="str">
        <f>"Frank"</f>
        <v>Frank</v>
      </c>
      <c r="B353" s="2" t="str">
        <f>"Meijer"</f>
        <v>Meijer</v>
      </c>
      <c r="C353" s="2" t="str">
        <f>"Tropenmuseum (Royal Tropical Institute)"</f>
        <v>Tropenmuseum (Royal Tropical Institute)</v>
      </c>
      <c r="D353" s="2" t="str">
        <f>"Netherlands"</f>
        <v>Netherlands</v>
      </c>
    </row>
    <row r="354" spans="1:4" ht="12.75">
      <c r="A354" s="2" t="str">
        <f>"Giuseppe"</f>
        <v>Giuseppe</v>
      </c>
      <c r="B354" s="2" t="str">
        <f>"Mella"</f>
        <v>Mella</v>
      </c>
      <c r="C354" s="2" t="str">
        <f>"City of Venice"</f>
        <v>City of Venice</v>
      </c>
      <c r="D354" s="2" t="str">
        <f>"Italy"</f>
        <v>Italy</v>
      </c>
    </row>
    <row r="355" spans="1:4" ht="25.5">
      <c r="A355" s="2" t="str">
        <f>"Patricia"</f>
        <v>Patricia</v>
      </c>
      <c r="B355" s="2" t="str">
        <f>"Mergen"</f>
        <v>Mergen</v>
      </c>
      <c r="C355" s="2" t="str">
        <f>"Royal Museum for Central Africa"</f>
        <v>Royal Museum for Central Africa</v>
      </c>
      <c r="D355" s="2" t="str">
        <f>"Belgium"</f>
        <v>Belgium</v>
      </c>
    </row>
    <row r="356" spans="1:4" ht="25.5">
      <c r="A356" s="2" t="str">
        <f>"Fons"</f>
        <v>Fons</v>
      </c>
      <c r="B356" s="2" t="str">
        <f>"Mertens"</f>
        <v>Mertens</v>
      </c>
      <c r="C356" s="2" t="str">
        <f>"Mertens Consulting bvba"</f>
        <v>Mertens Consulting bvba</v>
      </c>
      <c r="D356" s="2" t="str">
        <f>"Belgium"</f>
        <v>Belgium</v>
      </c>
    </row>
    <row r="357" spans="1:4" ht="12.75">
      <c r="A357" s="2" t="str">
        <f>"Riccardo"</f>
        <v>Riccardo</v>
      </c>
      <c r="B357" s="2" t="str">
        <f>"Milisci"</f>
        <v>Milisci</v>
      </c>
      <c r="C357" s="2" t="str">
        <f>"Aviomil"</f>
        <v>Aviomil</v>
      </c>
      <c r="D357" s="2" t="str">
        <f>"Italy"</f>
        <v>Italy</v>
      </c>
    </row>
    <row r="358" spans="1:4" ht="25.5">
      <c r="A358" s="2" t="str">
        <f>"Ronny"</f>
        <v>Ronny</v>
      </c>
      <c r="B358" s="2" t="str">
        <f>"Mingels"</f>
        <v>Mingels</v>
      </c>
      <c r="C358" s="2" t="str">
        <f>"ARTTIC International Management"</f>
        <v>ARTTIC International Management</v>
      </c>
      <c r="D358" s="2" t="str">
        <f>"Belgium"</f>
        <v>Belgium</v>
      </c>
    </row>
    <row r="359" spans="1:4" ht="12.75">
      <c r="A359" s="2" t="str">
        <f>"Aitor"</f>
        <v>Aitor</v>
      </c>
      <c r="B359" s="2" t="str">
        <f>"Mintegui"</f>
        <v>Mintegui</v>
      </c>
      <c r="C359" s="2" t="str">
        <f>"Basque Governement"</f>
        <v>Basque Governement</v>
      </c>
      <c r="D359" s="2" t="str">
        <f>"Spain"</f>
        <v>Spain</v>
      </c>
    </row>
    <row r="360" spans="1:4" ht="51">
      <c r="A360" s="2" t="str">
        <f>"Ruzica"</f>
        <v>Ruzica</v>
      </c>
      <c r="B360" s="2" t="str">
        <f>"Miskovic"</f>
        <v>Miskovic</v>
      </c>
      <c r="C360" s="2" t="str">
        <f>"Ministry for Information Society and Telecommunication"</f>
        <v>Ministry for Information Society and Telecommunication</v>
      </c>
      <c r="D360" s="2" t="str">
        <f>"Montenegro"</f>
        <v>Montenegro</v>
      </c>
    </row>
    <row r="361" spans="1:4" ht="12.75">
      <c r="A361" s="2" t="str">
        <f>"Robert"</f>
        <v>Robert</v>
      </c>
      <c r="B361" s="2" t="str">
        <f>"Miskuf"</f>
        <v>Miskuf</v>
      </c>
      <c r="C361" s="2" t="str">
        <f>"PSCE"</f>
        <v>PSCE</v>
      </c>
      <c r="D361" s="2" t="str">
        <f>"Belgium"</f>
        <v>Belgium</v>
      </c>
    </row>
    <row r="362" spans="1:4" ht="12.75">
      <c r="A362" s="2" t="str">
        <f>"Filip"</f>
        <v>Filip</v>
      </c>
      <c r="B362" s="2" t="str">
        <f>"Mitrovic"</f>
        <v>Mitrovic</v>
      </c>
      <c r="C362" s="2" t="str">
        <f>"City of Pancevo"</f>
        <v>City of Pancevo</v>
      </c>
      <c r="D362" s="2" t="str">
        <f>"Serbia"</f>
        <v>Serbia</v>
      </c>
    </row>
    <row r="363" spans="1:4" ht="25.5">
      <c r="A363" s="2" t="str">
        <f>"Maria"</f>
        <v>Maria</v>
      </c>
      <c r="B363" s="2" t="str">
        <f>"Moloney"</f>
        <v>Moloney</v>
      </c>
      <c r="C363" s="2" t="str">
        <f>"Escher Group Holdings Plc"</f>
        <v>Escher Group Holdings Plc</v>
      </c>
      <c r="D363" s="2" t="str">
        <f>"Ireland"</f>
        <v>Ireland</v>
      </c>
    </row>
    <row r="364" spans="1:4" ht="12.75">
      <c r="A364" s="2" t="str">
        <f>"Irene"</f>
        <v>Irene</v>
      </c>
      <c r="B364" s="2" t="str">
        <f>"Monsonís Payá"</f>
        <v>Monsonís Payá</v>
      </c>
      <c r="C364" s="2" t="str">
        <f>"University of Valencia"</f>
        <v>University of Valencia</v>
      </c>
      <c r="D364" s="2">
        <f>""</f>
      </c>
    </row>
    <row r="365" spans="1:4" ht="25.5">
      <c r="A365" s="2" t="str">
        <f>"Jelle"</f>
        <v>Jelle</v>
      </c>
      <c r="B365" s="2" t="str">
        <f>"Monstrey"</f>
        <v>Monstrey</v>
      </c>
      <c r="C365" s="2" t="str">
        <f>"City of Ghent (Stad Gent)"</f>
        <v>City of Ghent (Stad Gent)</v>
      </c>
      <c r="D365" s="2" t="str">
        <f>"Belgium"</f>
        <v>Belgium</v>
      </c>
    </row>
    <row r="366" spans="1:4" ht="12.75">
      <c r="A366" s="2" t="str">
        <f>"Aurélien"</f>
        <v>Aurélien</v>
      </c>
      <c r="B366" s="2" t="str">
        <f>"Montagu"</f>
        <v>Montagu</v>
      </c>
      <c r="C366" s="2" t="str">
        <f>"Project Education"</f>
        <v>Project Education</v>
      </c>
      <c r="D366" s="2" t="str">
        <f>"France"</f>
        <v>France</v>
      </c>
    </row>
    <row r="367" spans="1:4" ht="25.5">
      <c r="A367" s="2" t="str">
        <f>"Sabrina"</f>
        <v>Sabrina</v>
      </c>
      <c r="B367" s="2" t="str">
        <f>"Montante"</f>
        <v>Montante</v>
      </c>
      <c r="C367" s="2" t="str">
        <f>"Veneto Region Brussels Office"</f>
        <v>Veneto Region Brussels Office</v>
      </c>
      <c r="D367" s="2">
        <f>""</f>
      </c>
    </row>
    <row r="368" spans="1:4" ht="12.75">
      <c r="A368" s="2" t="str">
        <f>"Edgardo"</f>
        <v>Edgardo</v>
      </c>
      <c r="B368" s="2" t="str">
        <f>"Montes de Oca"</f>
        <v>Montes de Oca</v>
      </c>
      <c r="C368" s="2" t="str">
        <f>"Montimage"</f>
        <v>Montimage</v>
      </c>
      <c r="D368" s="2" t="str">
        <f>"France"</f>
        <v>France</v>
      </c>
    </row>
    <row r="369" spans="1:4" ht="12.75">
      <c r="A369" s="2" t="str">
        <f>"Bev"</f>
        <v>Bev</v>
      </c>
      <c r="B369" s="2" t="str">
        <f>"Moore"</f>
        <v>Moore</v>
      </c>
      <c r="C369" s="2" t="str">
        <f>"European Commission"</f>
        <v>European Commission</v>
      </c>
      <c r="D369" s="2" t="str">
        <f>"Belgium"</f>
        <v>Belgium</v>
      </c>
    </row>
    <row r="370" spans="1:4" ht="12.75">
      <c r="A370" s="2" t="str">
        <f>"Stefan"</f>
        <v>Stefan</v>
      </c>
      <c r="B370" s="2" t="str">
        <f>"Morcov"</f>
        <v>Morcov</v>
      </c>
      <c r="C370" s="2" t="str">
        <f>"SIVECO Romania"</f>
        <v>SIVECO Romania</v>
      </c>
      <c r="D370" s="2" t="str">
        <f>"Romania"</f>
        <v>Romania</v>
      </c>
    </row>
    <row r="371" spans="1:4" ht="38.25">
      <c r="A371" s="2" t="str">
        <f>"Dries"</f>
        <v>Dries</v>
      </c>
      <c r="B371" s="2" t="str">
        <f>"Moreels"</f>
        <v>Moreels</v>
      </c>
      <c r="C371" s="2" t="str">
        <f>"BAM Institute for visual, audiovisual and media art"</f>
        <v>BAM Institute for visual, audiovisual and media art</v>
      </c>
      <c r="D371" s="2" t="str">
        <f>"Belgium"</f>
        <v>Belgium</v>
      </c>
    </row>
    <row r="372" spans="1:4" ht="12.75">
      <c r="A372" s="2" t="str">
        <f>"Andreia"</f>
        <v>Andreia</v>
      </c>
      <c r="B372" s="2" t="str">
        <f>"Moreira de Jesus"</f>
        <v>Moreira de Jesus</v>
      </c>
      <c r="C372" s="2" t="str">
        <f>"Portugal Telecom"</f>
        <v>Portugal Telecom</v>
      </c>
      <c r="D372" s="2" t="str">
        <f>"Portugal"</f>
        <v>Portugal</v>
      </c>
    </row>
    <row r="373" spans="1:4" ht="12.75">
      <c r="A373" s="2" t="str">
        <f>"Wendy"</f>
        <v>Wendy</v>
      </c>
      <c r="B373" s="2" t="str">
        <f>"Moreno"</f>
        <v>Moreno</v>
      </c>
      <c r="C373" s="2" t="str">
        <f>"Soros Gabinete"</f>
        <v>Soros Gabinete</v>
      </c>
      <c r="D373" s="2" t="str">
        <f>"Spain"</f>
        <v>Spain</v>
      </c>
    </row>
    <row r="374" spans="1:4" ht="25.5">
      <c r="A374" s="2" t="str">
        <f>"Rasmus"</f>
        <v>Rasmus</v>
      </c>
      <c r="B374" s="2" t="str">
        <f>"Mork"</f>
        <v>Mork</v>
      </c>
      <c r="C374" s="2" t="str">
        <f>"Central Denmark EU Office"</f>
        <v>Central Denmark EU Office</v>
      </c>
      <c r="D374" s="2" t="str">
        <f>"Denmark"</f>
        <v>Denmark</v>
      </c>
    </row>
    <row r="375" spans="1:4" ht="12.75">
      <c r="A375" s="2" t="str">
        <f>"Elisa"</f>
        <v>Elisa</v>
      </c>
      <c r="B375" s="2" t="str">
        <f>"Moron Lopez"</f>
        <v>Moron Lopez</v>
      </c>
      <c r="C375" s="2" t="str">
        <f>"ISOTROL"</f>
        <v>ISOTROL</v>
      </c>
      <c r="D375" s="2" t="str">
        <f>"Spain"</f>
        <v>Spain</v>
      </c>
    </row>
    <row r="376" spans="1:4" ht="12.75">
      <c r="A376" s="2" t="str">
        <f>"Virginia"</f>
        <v>Virginia</v>
      </c>
      <c r="B376" s="2" t="str">
        <f>"Mosteyrin"</f>
        <v>Mosteyrin</v>
      </c>
      <c r="C376" s="2" t="str">
        <f>"IClaves"</f>
        <v>IClaves</v>
      </c>
      <c r="D376" s="2" t="str">
        <f>"Spain"</f>
        <v>Spain</v>
      </c>
    </row>
    <row r="377" spans="1:4" ht="12.75">
      <c r="A377" s="2" t="str">
        <f>"marco"</f>
        <v>marco</v>
      </c>
      <c r="B377" s="2" t="str">
        <f>"mozzo"</f>
        <v>mozzo</v>
      </c>
      <c r="C377" s="2" t="str">
        <f>"University of Udine"</f>
        <v>University of Udine</v>
      </c>
      <c r="D377" s="2" t="str">
        <f>"Italy"</f>
        <v>Italy</v>
      </c>
    </row>
    <row r="378" spans="1:4" ht="12.75">
      <c r="A378" s="2" t="str">
        <f>"Emmanuel"</f>
        <v>Emmanuel</v>
      </c>
      <c r="B378" s="2" t="str">
        <f>"Muhr"</f>
        <v>Muhr</v>
      </c>
      <c r="C378" s="2" t="str">
        <f>"VITAMIB"</f>
        <v>VITAMIB</v>
      </c>
      <c r="D378" s="2" t="str">
        <f>"France"</f>
        <v>France</v>
      </c>
    </row>
    <row r="379" spans="1:4" ht="12.75">
      <c r="A379" s="2" t="str">
        <f>"Elena"</f>
        <v>Elena</v>
      </c>
      <c r="B379" s="2" t="str">
        <f>"MURZAKAEVA"</f>
        <v>MURZAKAEVA</v>
      </c>
      <c r="C379" s="2" t="str">
        <f>"SYNBEA"</f>
        <v>SYNBEA</v>
      </c>
      <c r="D379" s="2" t="str">
        <f>"France"</f>
        <v>France</v>
      </c>
    </row>
    <row r="380" spans="1:4" ht="12.75">
      <c r="A380" s="2" t="str">
        <f>"Syed"</f>
        <v>Syed</v>
      </c>
      <c r="B380" s="2" t="str">
        <f>"Naqvi"</f>
        <v>Naqvi</v>
      </c>
      <c r="C380" s="2" t="str">
        <f>"CETIC"</f>
        <v>CETIC</v>
      </c>
      <c r="D380" s="2" t="str">
        <f>"Belgium"</f>
        <v>Belgium</v>
      </c>
    </row>
    <row r="381" spans="1:4" ht="25.5">
      <c r="A381" s="2" t="str">
        <f>"Maria Teresa"</f>
        <v>Maria Teresa</v>
      </c>
      <c r="B381" s="2" t="str">
        <f>"Natale"</f>
        <v>Natale</v>
      </c>
      <c r="C381" s="2" t="str">
        <f>"Ministero per i beni e le attività culturali"</f>
        <v>Ministero per i beni e le attività culturali</v>
      </c>
      <c r="D381" s="2" t="str">
        <f>"Italy"</f>
        <v>Italy</v>
      </c>
    </row>
    <row r="382" spans="1:4" ht="12.75">
      <c r="A382" s="2" t="str">
        <f>"Patrizia"</f>
        <v>Patrizia</v>
      </c>
      <c r="B382" s="2" t="str">
        <f>"Nazio"</f>
        <v>Nazio</v>
      </c>
      <c r="C382" s="2" t="str">
        <f>"Regione Piemonte"</f>
        <v>Regione Piemonte</v>
      </c>
      <c r="D382" s="2" t="str">
        <f>"Italy"</f>
        <v>Italy</v>
      </c>
    </row>
    <row r="383" spans="1:4" ht="38.25">
      <c r="A383" s="2" t="str">
        <f>"Enrico"</f>
        <v>Enrico</v>
      </c>
      <c r="B383" s="2" t="str">
        <f>"Neami"</f>
        <v>Neami</v>
      </c>
      <c r="C383" s="2" t="str">
        <f>"European Union of Exiled and Expelled People - EUEEP"</f>
        <v>European Union of Exiled and Expelled People - EUEEP</v>
      </c>
      <c r="D383" s="2" t="str">
        <f>"Italy"</f>
        <v>Italy</v>
      </c>
    </row>
    <row r="384" spans="1:4" ht="25.5">
      <c r="A384" s="2" t="str">
        <f>"Daniela"</f>
        <v>Daniela</v>
      </c>
      <c r="B384" s="2" t="str">
        <f>"Negri"</f>
        <v>Negri</v>
      </c>
      <c r="C384" s="2" t="str">
        <f>"Veneto Region Brussels Office"</f>
        <v>Veneto Region Brussels Office</v>
      </c>
      <c r="D384" s="2" t="str">
        <f>"Italy"</f>
        <v>Italy</v>
      </c>
    </row>
    <row r="385" spans="1:4" ht="12.75">
      <c r="A385" s="2" t="str">
        <f>"Peter"</f>
        <v>Peter</v>
      </c>
      <c r="B385" s="2" t="str">
        <f>"Nemcek"</f>
        <v>Nemcek</v>
      </c>
      <c r="C385" s="2" t="str">
        <f>"cyberGRID GmbH"</f>
        <v>cyberGRID GmbH</v>
      </c>
      <c r="D385" s="2" t="str">
        <f>"Austria"</f>
        <v>Austria</v>
      </c>
    </row>
    <row r="386" spans="1:4" ht="38.25">
      <c r="A386" s="2" t="str">
        <f>"Monika"</f>
        <v>Monika</v>
      </c>
      <c r="B386" s="2" t="str">
        <f>"Németh"</f>
        <v>Németh</v>
      </c>
      <c r="C386" s="2" t="str">
        <f>"Ministry of National Development Hungary"</f>
        <v>Ministry of National Development Hungary</v>
      </c>
      <c r="D386" s="2" t="str">
        <f>"Hungary"</f>
        <v>Hungary</v>
      </c>
    </row>
    <row r="387" spans="1:4" ht="12.75">
      <c r="A387" s="2" t="str">
        <f>"paolo"</f>
        <v>paolo</v>
      </c>
      <c r="B387" s="2" t="str">
        <f>"neri"</f>
        <v>neri</v>
      </c>
      <c r="C387" s="2" t="str">
        <f>"Warrant Group srl"</f>
        <v>Warrant Group srl</v>
      </c>
      <c r="D387" s="2" t="str">
        <f>"Italy"</f>
        <v>Italy</v>
      </c>
    </row>
    <row r="388" spans="1:4" ht="38.25">
      <c r="A388" s="2" t="str">
        <f>"Kindzeka"</f>
        <v>Kindzeka</v>
      </c>
      <c r="B388" s="2" t="str">
        <f>"Nestor"</f>
        <v>Nestor</v>
      </c>
      <c r="C388" s="2" t="str">
        <f>"Foundation for Youth Capacity Building (FYCB) Cameroon"</f>
        <v>Foundation for Youth Capacity Building (FYCB) Cameroon</v>
      </c>
      <c r="D388" s="2" t="str">
        <f>"Cameroon"</f>
        <v>Cameroon</v>
      </c>
    </row>
    <row r="389" spans="1:4" ht="25.5">
      <c r="A389" s="2" t="str">
        <f>"Maria"</f>
        <v>Maria</v>
      </c>
      <c r="B389" s="2" t="str">
        <f>"Neto"</f>
        <v>Neto</v>
      </c>
      <c r="C389" s="2" t="str">
        <f>"Faculty of Humanities - University of Lisbon"</f>
        <v>Faculty of Humanities - University of Lisbon</v>
      </c>
      <c r="D389" s="2" t="str">
        <f>"Portugal"</f>
        <v>Portugal</v>
      </c>
    </row>
    <row r="390" spans="1:4" ht="12.75">
      <c r="A390" s="2" t="str">
        <f>"João"</f>
        <v>João</v>
      </c>
      <c r="B390" s="2" t="str">
        <f>"Neto"</f>
        <v>Neto</v>
      </c>
      <c r="C390" s="2" t="str">
        <f>"VoiceInteraction"</f>
        <v>VoiceInteraction</v>
      </c>
      <c r="D390" s="2" t="str">
        <f>"Portugal"</f>
        <v>Portugal</v>
      </c>
    </row>
    <row r="391" spans="1:4" ht="38.25">
      <c r="A391" s="2" t="str">
        <f>"Annelies"</f>
        <v>Annelies</v>
      </c>
      <c r="B391" s="2" t="str">
        <f>"Nevejans"</f>
        <v>Nevejans</v>
      </c>
      <c r="C391" s="2" t="str">
        <f>"Centrum Vlaamse Architectuurarchieven"</f>
        <v>Centrum Vlaamse Architectuurarchieven</v>
      </c>
      <c r="D391" s="2" t="str">
        <f>"Belgium"</f>
        <v>Belgium</v>
      </c>
    </row>
    <row r="392" spans="1:4" ht="25.5">
      <c r="A392" s="2" t="str">
        <f>"Robert"</f>
        <v>Robert</v>
      </c>
      <c r="B392" s="2" t="str">
        <f>"Newman"</f>
        <v>Newman</v>
      </c>
      <c r="C392" s="2" t="str">
        <f>"University of Wolverhampton"</f>
        <v>University of Wolverhampton</v>
      </c>
      <c r="D392" s="2" t="str">
        <f>"United Kingdom"</f>
        <v>United Kingdom</v>
      </c>
    </row>
    <row r="393" spans="1:4" ht="12.75">
      <c r="A393" s="2" t="str">
        <f>"Lorena"</f>
        <v>Lorena</v>
      </c>
      <c r="B393" s="2" t="str">
        <f>"Nicoletti"</f>
        <v>Nicoletti</v>
      </c>
      <c r="C393" s="2" t="str">
        <f>"S-Com"</f>
        <v>S-Com</v>
      </c>
      <c r="D393" s="2">
        <f>""</f>
      </c>
    </row>
    <row r="394" spans="1:4" ht="12.75">
      <c r="A394" s="2" t="str">
        <f>"Stefania"</f>
        <v>Stefania</v>
      </c>
      <c r="B394" s="2" t="str">
        <f>"Nicoletti"</f>
        <v>Nicoletti</v>
      </c>
      <c r="C394" s="2" t="str">
        <f>"S-Com"</f>
        <v>S-Com</v>
      </c>
      <c r="D394" s="2">
        <f>""</f>
      </c>
    </row>
    <row r="395" spans="1:4" ht="12.75">
      <c r="A395" s="2" t="str">
        <f>"Roumen"</f>
        <v>Roumen</v>
      </c>
      <c r="B395" s="2" t="str">
        <f>"Nikolov"</f>
        <v>Nikolov</v>
      </c>
      <c r="C395" s="2" t="str">
        <f>"Sofia University"</f>
        <v>Sofia University</v>
      </c>
      <c r="D395" s="2" t="str">
        <f>"Bulgaria"</f>
        <v>Bulgaria</v>
      </c>
    </row>
    <row r="396" spans="1:4" ht="25.5">
      <c r="A396" s="3" t="s">
        <v>183</v>
      </c>
      <c r="B396" s="3" t="s">
        <v>184</v>
      </c>
      <c r="C396" s="12" t="s">
        <v>185</v>
      </c>
      <c r="D396" s="3"/>
    </row>
    <row r="397" spans="1:4" ht="12.75">
      <c r="A397" s="2" t="str">
        <f>"Nenad"</f>
        <v>Nenad</v>
      </c>
      <c r="B397" s="2" t="str">
        <f>"Novak"</f>
        <v>Novak</v>
      </c>
      <c r="C397" s="2" t="str">
        <f>"City of Zagreb"</f>
        <v>City of Zagreb</v>
      </c>
      <c r="D397" s="2" t="str">
        <f>"Croatia"</f>
        <v>Croatia</v>
      </c>
    </row>
    <row r="398" spans="1:4" ht="12.75">
      <c r="A398" s="2" t="str">
        <f>"Daniela"</f>
        <v>Daniela</v>
      </c>
      <c r="B398" s="2" t="str">
        <f>"Novelli"</f>
        <v>Novelli</v>
      </c>
      <c r="C398" s="2" t="str">
        <f>"Accenture"</f>
        <v>Accenture</v>
      </c>
      <c r="D398" s="2" t="str">
        <f>"Italy"</f>
        <v>Italy</v>
      </c>
    </row>
    <row r="399" spans="1:4" ht="25.5">
      <c r="A399" s="2" t="str">
        <f>"Kjeld B."</f>
        <v>Kjeld B.</v>
      </c>
      <c r="B399" s="2" t="str">
        <f>"Olesen"</f>
        <v>Olesen</v>
      </c>
      <c r="C399" s="2" t="str">
        <f>"North Denmark EU office"</f>
        <v>North Denmark EU office</v>
      </c>
      <c r="D399" s="2" t="str">
        <f>"Denmark"</f>
        <v>Denmark</v>
      </c>
    </row>
    <row r="400" spans="1:4" ht="12.75">
      <c r="A400" s="2" t="str">
        <f>"Álvaro"</f>
        <v>Álvaro</v>
      </c>
      <c r="B400" s="2" t="str">
        <f>"Oliveira"</f>
        <v>Oliveira</v>
      </c>
      <c r="C400" s="2" t="str">
        <f>"Alfamicro"</f>
        <v>Alfamicro</v>
      </c>
      <c r="D400" s="2" t="str">
        <f>"Portugal"</f>
        <v>Portugal</v>
      </c>
    </row>
    <row r="401" spans="1:4" ht="12.75">
      <c r="A401" s="3" t="s">
        <v>186</v>
      </c>
      <c r="B401" s="3" t="s">
        <v>187</v>
      </c>
      <c r="C401" s="12" t="s">
        <v>188</v>
      </c>
      <c r="D401" s="3"/>
    </row>
    <row r="402" spans="1:4" ht="12.75">
      <c r="A402" s="3" t="s">
        <v>189</v>
      </c>
      <c r="B402" s="3" t="s">
        <v>190</v>
      </c>
      <c r="C402" s="12" t="s">
        <v>191</v>
      </c>
      <c r="D402" s="3"/>
    </row>
    <row r="403" spans="1:4" ht="12.75">
      <c r="A403" s="2" t="str">
        <f>"Rebekka"</f>
        <v>Rebekka</v>
      </c>
      <c r="B403" s="2" t="str">
        <f>"Opfermann"</f>
        <v>Opfermann</v>
      </c>
      <c r="C403" s="2" t="str">
        <f>"peacefulfish"</f>
        <v>peacefulfish</v>
      </c>
      <c r="D403" s="2" t="str">
        <f>"Germany"</f>
        <v>Germany</v>
      </c>
    </row>
    <row r="404" spans="1:4" ht="12.75">
      <c r="A404" s="2" t="str">
        <f>"Dolores"</f>
        <v>Dolores</v>
      </c>
      <c r="B404" s="2" t="str">
        <f>"Ordóñez"</f>
        <v>Ordóñez</v>
      </c>
      <c r="C404" s="2" t="str">
        <f>"Prodigy Consultores"</f>
        <v>Prodigy Consultores</v>
      </c>
      <c r="D404" s="2" t="str">
        <f>"Spain"</f>
        <v>Spain</v>
      </c>
    </row>
    <row r="405" spans="1:4" ht="12.75">
      <c r="A405" s="2" t="str">
        <f>"Letizia"</f>
        <v>Letizia</v>
      </c>
      <c r="B405" s="2" t="str">
        <f>"Orlandi"</f>
        <v>Orlandi</v>
      </c>
      <c r="C405" s="2" t="str">
        <f>"West Journal"</f>
        <v>West Journal</v>
      </c>
      <c r="D405" s="2" t="str">
        <f>"Italy"</f>
        <v>Italy</v>
      </c>
    </row>
    <row r="406" spans="1:4" ht="12.75">
      <c r="A406" s="2" t="str">
        <f>"Marco"</f>
        <v>Marco</v>
      </c>
      <c r="B406" s="2" t="str">
        <f>"Ortiz"</f>
        <v>Ortiz</v>
      </c>
      <c r="C406" s="2" t="str">
        <f>"IPLUSF"</f>
        <v>IPLUSF</v>
      </c>
      <c r="D406" s="2" t="str">
        <f>"Belgium"</f>
        <v>Belgium</v>
      </c>
    </row>
    <row r="407" spans="1:4" ht="12.75">
      <c r="A407" s="2" t="str">
        <f>"Paula"</f>
        <v>Paula</v>
      </c>
      <c r="B407" s="2" t="str">
        <f>"Osés"</f>
        <v>Osés</v>
      </c>
      <c r="C407" s="2" t="str">
        <f>"Partenalia"</f>
        <v>Partenalia</v>
      </c>
      <c r="D407" s="2">
        <f>""</f>
      </c>
    </row>
    <row r="408" spans="1:4" ht="12.75">
      <c r="A408" s="3" t="s">
        <v>192</v>
      </c>
      <c r="B408" s="3" t="s">
        <v>193</v>
      </c>
      <c r="C408" s="12" t="s">
        <v>194</v>
      </c>
      <c r="D408" s="3"/>
    </row>
    <row r="409" spans="1:4" ht="12.75">
      <c r="A409" s="2" t="str">
        <f>"Asgeir"</f>
        <v>Asgeir</v>
      </c>
      <c r="B409" s="2" t="str">
        <f>"Oskarsson"</f>
        <v>Oskarsson</v>
      </c>
      <c r="C409" s="2" t="str">
        <f>"apfutura"</f>
        <v>apfutura</v>
      </c>
      <c r="D409" s="2">
        <f>""</f>
      </c>
    </row>
    <row r="410" spans="1:4" ht="12.75">
      <c r="A410" s="2" t="str">
        <f>"Sinead"</f>
        <v>Sinead</v>
      </c>
      <c r="B410" s="2" t="str">
        <f>"Ouillon"</f>
        <v>Ouillon</v>
      </c>
      <c r="C410" s="2" t="str">
        <f>"Coventry University"</f>
        <v>Coventry University</v>
      </c>
      <c r="D410" s="2" t="str">
        <f>"United Kingdom"</f>
        <v>United Kingdom</v>
      </c>
    </row>
    <row r="411" spans="1:4" ht="12.75">
      <c r="A411" s="3" t="s">
        <v>195</v>
      </c>
      <c r="B411" s="3" t="s">
        <v>196</v>
      </c>
      <c r="C411" s="12" t="s">
        <v>197</v>
      </c>
      <c r="D411" s="3"/>
    </row>
    <row r="412" spans="1:4" ht="25.5">
      <c r="A412" s="2" t="str">
        <f>"alejandra"</f>
        <v>alejandra</v>
      </c>
      <c r="B412" s="2" t="str">
        <f>"panighi"</f>
        <v>panighi</v>
      </c>
      <c r="C412" s="2" t="str">
        <f>"Alice Production. Grupo Vertice 360"</f>
        <v>Alice Production. Grupo Vertice 360</v>
      </c>
      <c r="D412" s="2" t="str">
        <f>"Belgium"</f>
        <v>Belgium</v>
      </c>
    </row>
    <row r="413" spans="1:4" ht="12.75">
      <c r="A413" s="2" t="str">
        <f>"serena"</f>
        <v>serena</v>
      </c>
      <c r="B413" s="2" t="str">
        <f>"parsi"</f>
        <v>parsi</v>
      </c>
      <c r="C413" s="2" t="str">
        <f>"Europe for business"</f>
        <v>Europe for business</v>
      </c>
      <c r="D413" s="2">
        <f>""</f>
      </c>
    </row>
    <row r="414" spans="1:4" ht="12.75">
      <c r="A414" s="2" t="str">
        <f>"Carmen"</f>
        <v>Carmen</v>
      </c>
      <c r="B414" s="2" t="str">
        <f>"Pastor"</f>
        <v>Pastor</v>
      </c>
      <c r="C414" s="2" t="str">
        <f>"TECNALIA"</f>
        <v>TECNALIA</v>
      </c>
      <c r="D414" s="2" t="str">
        <f>"Spain"</f>
        <v>Spain</v>
      </c>
    </row>
    <row r="415" spans="1:4" ht="12.75">
      <c r="A415" s="2" t="str">
        <f>"Roberta"</f>
        <v>Roberta</v>
      </c>
      <c r="B415" s="2" t="str">
        <f>"Pastorelli"</f>
        <v>Pastorelli</v>
      </c>
      <c r="C415" s="2" t="str">
        <f>"european parliament"</f>
        <v>european parliament</v>
      </c>
      <c r="D415" s="2">
        <f>""</f>
      </c>
    </row>
    <row r="416" spans="1:4" ht="38.25">
      <c r="A416" s="4" t="s">
        <v>198</v>
      </c>
      <c r="B416" s="4" t="s">
        <v>199</v>
      </c>
      <c r="C416" s="5" t="s">
        <v>200</v>
      </c>
      <c r="D416" s="4"/>
    </row>
    <row r="417" spans="1:4" ht="12.75">
      <c r="A417" s="2" t="str">
        <f>"Sofia"</f>
        <v>Sofia</v>
      </c>
      <c r="B417" s="2" t="str">
        <f>"Patat"</f>
        <v>Patat</v>
      </c>
      <c r="C417" s="2" t="str">
        <f>"Tropenmuseum"</f>
        <v>Tropenmuseum</v>
      </c>
      <c r="D417" s="2" t="str">
        <f>"Netherlands"</f>
        <v>Netherlands</v>
      </c>
    </row>
    <row r="418" spans="1:4" ht="12.75">
      <c r="A418" s="3" t="s">
        <v>201</v>
      </c>
      <c r="B418" s="3" t="s">
        <v>202</v>
      </c>
      <c r="C418" s="12" t="s">
        <v>203</v>
      </c>
      <c r="D418" s="3"/>
    </row>
    <row r="419" spans="1:4" ht="12.75">
      <c r="A419" s="2" t="str">
        <f>"Ana"</f>
        <v>Ana</v>
      </c>
      <c r="B419" s="2" t="str">
        <f>"Paul"</f>
        <v>Paul</v>
      </c>
      <c r="C419" s="2" t="str">
        <f>"CTAG"</f>
        <v>CTAG</v>
      </c>
      <c r="D419" s="2" t="str">
        <f>"Spain"</f>
        <v>Spain</v>
      </c>
    </row>
    <row r="420" spans="1:4" ht="12.75">
      <c r="A420" s="2" t="str">
        <f>"Gloria"</f>
        <v>Gloria</v>
      </c>
      <c r="B420" s="2" t="str">
        <f>"Peasso"</f>
        <v>Peasso</v>
      </c>
      <c r="C420" s="2" t="str">
        <f>"APRE"</f>
        <v>APRE</v>
      </c>
      <c r="D420" s="2" t="str">
        <f>"Italy"</f>
        <v>Italy</v>
      </c>
    </row>
    <row r="421" spans="1:4" ht="38.25">
      <c r="A421" s="2" t="str">
        <f>"Esteban"</f>
        <v>Esteban</v>
      </c>
      <c r="B421" s="2" t="str">
        <f>"Pelayo"</f>
        <v>Pelayo</v>
      </c>
      <c r="C421" s="2" t="str">
        <f>"Instituto de Fomento de la Región de Murcia"</f>
        <v>Instituto de Fomento de la Región de Murcia</v>
      </c>
      <c r="D421" s="2" t="str">
        <f>"Spain"</f>
        <v>Spain</v>
      </c>
    </row>
    <row r="422" spans="1:4" ht="12.75">
      <c r="A422" s="2" t="str">
        <f>"Piero"</f>
        <v>Piero</v>
      </c>
      <c r="B422" s="2" t="str">
        <f>"Pelizzaro"</f>
        <v>Pelizzaro</v>
      </c>
      <c r="C422" s="2" t="str">
        <f>"Kyoto Club"</f>
        <v>Kyoto Club</v>
      </c>
      <c r="D422" s="2" t="str">
        <f>"Italy"</f>
        <v>Italy</v>
      </c>
    </row>
    <row r="423" spans="1:4" ht="25.5">
      <c r="A423" s="2" t="str">
        <f>"Lorenzo"</f>
        <v>Lorenzo</v>
      </c>
      <c r="B423" s="2" t="str">
        <f>"Pellegrini"</f>
        <v>Pellegrini</v>
      </c>
      <c r="C423" s="2" t="str">
        <f>"Intesa Sanpaolo S.p.A."</f>
        <v>Intesa Sanpaolo S.p.A.</v>
      </c>
      <c r="D423" s="2" t="str">
        <f>"Belgium"</f>
        <v>Belgium</v>
      </c>
    </row>
    <row r="424" spans="1:4" ht="12.75">
      <c r="A424" s="2" t="str">
        <f>"Oana"</f>
        <v>Oana</v>
      </c>
      <c r="B424" s="2" t="str">
        <f>"Penu"</f>
        <v>Penu</v>
      </c>
      <c r="C424" s="2" t="str">
        <f>"Schuman Associates"</f>
        <v>Schuman Associates</v>
      </c>
      <c r="D424" s="2" t="str">
        <f>"Belgium"</f>
        <v>Belgium</v>
      </c>
    </row>
    <row r="425" spans="1:4" ht="12.75">
      <c r="A425" s="2" t="str">
        <f>"Michelle"</f>
        <v>Michelle</v>
      </c>
      <c r="B425" s="2" t="str">
        <f>"Perello"</f>
        <v>Perello</v>
      </c>
      <c r="C425" s="2" t="str">
        <f>"Consulta Europa"</f>
        <v>Consulta Europa</v>
      </c>
      <c r="D425" s="2" t="str">
        <f>"Spain"</f>
        <v>Spain</v>
      </c>
    </row>
    <row r="426" spans="1:4" ht="12.75">
      <c r="A426" s="2" t="str">
        <f>"Fabio"</f>
        <v>Fabio</v>
      </c>
      <c r="B426" s="2" t="str">
        <f>"Perossini"</f>
        <v>Perossini</v>
      </c>
      <c r="C426" s="2" t="str">
        <f>"KPEOPLE"</f>
        <v>KPEOPLE</v>
      </c>
      <c r="D426" s="2" t="str">
        <f>"United Kingdom"</f>
        <v>United Kingdom</v>
      </c>
    </row>
    <row r="427" spans="1:4" ht="25.5">
      <c r="A427" s="2" t="str">
        <f>"Gabriel"</f>
        <v>Gabriel</v>
      </c>
      <c r="B427" s="2" t="str">
        <f>"Pestana"</f>
        <v>Pestana</v>
      </c>
      <c r="C427" s="2" t="str">
        <f>"INOV - Inesc Inovação"</f>
        <v>INOV - Inesc Inovação</v>
      </c>
      <c r="D427" s="2" t="str">
        <f>"Portugal"</f>
        <v>Portugal</v>
      </c>
    </row>
    <row r="428" spans="1:4" ht="25.5">
      <c r="A428" s="2" t="str">
        <f>"Hasse"</f>
        <v>Hasse</v>
      </c>
      <c r="B428" s="2" t="str">
        <f>"Petersen"</f>
        <v>Petersen</v>
      </c>
      <c r="C428" s="2" t="str">
        <f>"Region of Southern Denmark"</f>
        <v>Region of Southern Denmark</v>
      </c>
      <c r="D428" s="2" t="str">
        <f>"Denmark"</f>
        <v>Denmark</v>
      </c>
    </row>
    <row r="429" spans="1:4" ht="25.5">
      <c r="A429" s="2" t="str">
        <f>"Giuseppe"</f>
        <v>Giuseppe</v>
      </c>
      <c r="B429" s="2" t="str">
        <f>"Petito"</f>
        <v>Petito</v>
      </c>
      <c r="C429" s="2" t="str">
        <f>"Business Solutions Europa"</f>
        <v>Business Solutions Europa</v>
      </c>
      <c r="D429" s="2">
        <f>""</f>
      </c>
    </row>
    <row r="430" spans="1:4" ht="38.25">
      <c r="A430" s="2" t="str">
        <f>"Michele"</f>
        <v>Michele</v>
      </c>
      <c r="B430" s="2" t="str">
        <f>"Petracca"</f>
        <v>Petracca</v>
      </c>
      <c r="C430" s="2" t="str">
        <f>"REGIONE MOLISE-REPRESENTATIVE OFFICE IN BRUSSELS"</f>
        <v>REGIONE MOLISE-REPRESENTATIVE OFFICE IN BRUSSELS</v>
      </c>
      <c r="D430" s="2" t="str">
        <f>"Italy"</f>
        <v>Italy</v>
      </c>
    </row>
    <row r="431" spans="1:4" ht="12.75">
      <c r="A431" s="3" t="s">
        <v>128</v>
      </c>
      <c r="B431" s="3" t="s">
        <v>204</v>
      </c>
      <c r="C431" s="12" t="s">
        <v>205</v>
      </c>
      <c r="D431" s="3"/>
    </row>
    <row r="432" spans="1:4" ht="38.25">
      <c r="A432" s="2" t="str">
        <f>"Veronique"</f>
        <v>Veronique</v>
      </c>
      <c r="B432" s="2" t="str">
        <f>"Pevtschin"</f>
        <v>Pevtschin</v>
      </c>
      <c r="C432" s="2" t="str">
        <f>"Engineering Ingegneria Informatica"</f>
        <v>Engineering Ingegneria Informatica</v>
      </c>
      <c r="D432" s="2" t="str">
        <f>"Italy"</f>
        <v>Italy</v>
      </c>
    </row>
    <row r="433" spans="1:4" ht="12.75">
      <c r="A433" s="2" t="str">
        <f>"Leonardo"</f>
        <v>Leonardo</v>
      </c>
      <c r="B433" s="2" t="str">
        <f>"Piccinetti"</f>
        <v>Piccinetti</v>
      </c>
      <c r="C433" s="2" t="str">
        <f>"Europe for Business"</f>
        <v>Europe for Business</v>
      </c>
      <c r="D433" s="2" t="str">
        <f>"Belgium"</f>
        <v>Belgium</v>
      </c>
    </row>
    <row r="434" spans="1:4" ht="38.25">
      <c r="A434" s="2" t="str">
        <f>"Marzia"</f>
        <v>Marzia</v>
      </c>
      <c r="B434" s="2" t="str">
        <f>"Piccininno"</f>
        <v>Piccininno</v>
      </c>
      <c r="C434" s="2" t="str">
        <f>"ICCU - Ministry for Cultural Heritage and Activities"</f>
        <v>ICCU - Ministry for Cultural Heritage and Activities</v>
      </c>
      <c r="D434" s="2" t="str">
        <f>"Italy"</f>
        <v>Italy</v>
      </c>
    </row>
    <row r="435" spans="1:4" ht="12.75">
      <c r="A435" s="2" t="str">
        <f>"Chiara"</f>
        <v>Chiara</v>
      </c>
      <c r="B435" s="2" t="str">
        <f>"Piccolo"</f>
        <v>Piccolo</v>
      </c>
      <c r="C435" s="2" t="str">
        <f>"MENON Network"</f>
        <v>MENON Network</v>
      </c>
      <c r="D435" s="2" t="str">
        <f>"Belgium"</f>
        <v>Belgium</v>
      </c>
    </row>
    <row r="436" spans="1:4" ht="12.75">
      <c r="A436" s="2" t="str">
        <f>"Elsa"</f>
        <v>Elsa</v>
      </c>
      <c r="B436" s="2" t="str">
        <f>"Pilone"</f>
        <v>Pilone</v>
      </c>
      <c r="C436" s="2" t="str">
        <f>"CSI-Piemonte"</f>
        <v>CSI-Piemonte</v>
      </c>
      <c r="D436" s="2" t="str">
        <f>"Italy"</f>
        <v>Italy</v>
      </c>
    </row>
    <row r="437" spans="1:4" ht="12.75">
      <c r="A437" s="2" t="str">
        <f>"Gregor"</f>
        <v>Gregor</v>
      </c>
      <c r="B437" s="2" t="str">
        <f>"Pipan"</f>
        <v>Pipan</v>
      </c>
      <c r="C437" s="2" t="str">
        <f>"XLAB d.o.o."</f>
        <v>XLAB d.o.o.</v>
      </c>
      <c r="D437" s="2" t="str">
        <f>"Slovenia"</f>
        <v>Slovenia</v>
      </c>
    </row>
    <row r="438" spans="1:4" ht="25.5">
      <c r="A438" s="2" t="str">
        <f>"Elisabete"</f>
        <v>Elisabete</v>
      </c>
      <c r="B438" s="2" t="str">
        <f>"Pires"</f>
        <v>Pires</v>
      </c>
      <c r="C438" s="2" t="str">
        <f>"UMIC - Knowledge Society Agency"</f>
        <v>UMIC - Knowledge Society Agency</v>
      </c>
      <c r="D438" s="2" t="str">
        <f>"Portugal"</f>
        <v>Portugal</v>
      </c>
    </row>
    <row r="439" spans="1:4" ht="12.75">
      <c r="A439" s="2" t="str">
        <f>"Klaus-Dieter"</f>
        <v>Klaus-Dieter</v>
      </c>
      <c r="B439" s="2" t="str">
        <f>"PLATTE"</f>
        <v>PLATTE</v>
      </c>
      <c r="C439" s="2" t="str">
        <f>"Platte Consult PGmbH"</f>
        <v>Platte Consult PGmbH</v>
      </c>
      <c r="D439" s="2" t="str">
        <f>"Belgium"</f>
        <v>Belgium</v>
      </c>
    </row>
    <row r="440" spans="1:4" ht="12.75">
      <c r="A440" s="2" t="str">
        <f>"Zuzana"</f>
        <v>Zuzana</v>
      </c>
      <c r="B440" s="2" t="str">
        <f>"Polanska"</f>
        <v>Polanska</v>
      </c>
      <c r="C440" s="2" t="str">
        <f>"Masaryk University"</f>
        <v>Masaryk University</v>
      </c>
      <c r="D440" s="2" t="str">
        <f>"Czech Republic"</f>
        <v>Czech Republic</v>
      </c>
    </row>
    <row r="441" spans="1:4" ht="12.75">
      <c r="A441" s="2" t="str">
        <f>"Isabel"</f>
        <v>Isabel</v>
      </c>
      <c r="B441" s="2" t="str">
        <f>"Poli"</f>
        <v>Poli</v>
      </c>
      <c r="C441" s="2" t="str">
        <f>"West Sweden"</f>
        <v>West Sweden</v>
      </c>
      <c r="D441" s="2" t="str">
        <f>"Belgium"</f>
        <v>Belgium</v>
      </c>
    </row>
    <row r="442" spans="1:4" ht="25.5">
      <c r="A442" s="2" t="str">
        <f>"Marija"</f>
        <v>Marija</v>
      </c>
      <c r="B442" s="2" t="str">
        <f>"Popovic"</f>
        <v>Popovic</v>
      </c>
      <c r="C442" s="2" t="str">
        <f>"European Design Centre"</f>
        <v>European Design Centre</v>
      </c>
      <c r="D442" s="2" t="str">
        <f>"Belgium"</f>
        <v>Belgium</v>
      </c>
    </row>
    <row r="443" spans="1:4" ht="38.25">
      <c r="A443" s="2" t="str">
        <f>"Jan"</f>
        <v>Jan</v>
      </c>
      <c r="B443" s="2" t="str">
        <f>"Porekar"</f>
        <v>Porekar</v>
      </c>
      <c r="C443" s="2" t="str">
        <f>"SETCCE - Security Technology Comptence Center"</f>
        <v>SETCCE - Security Technology Comptence Center</v>
      </c>
      <c r="D443" s="2" t="str">
        <f>"Slovenia"</f>
        <v>Slovenia</v>
      </c>
    </row>
    <row r="444" spans="1:4" ht="25.5">
      <c r="A444" s="4" t="s">
        <v>206</v>
      </c>
      <c r="B444" s="4" t="s">
        <v>207</v>
      </c>
      <c r="C444" s="5" t="s">
        <v>208</v>
      </c>
      <c r="D444" s="4"/>
    </row>
    <row r="445" spans="1:4" ht="12.75">
      <c r="A445" s="3" t="s">
        <v>209</v>
      </c>
      <c r="B445" s="3" t="s">
        <v>210</v>
      </c>
      <c r="C445" s="12" t="s">
        <v>211</v>
      </c>
      <c r="D445" s="3"/>
    </row>
    <row r="446" spans="1:4" ht="25.5">
      <c r="A446" s="3" t="s">
        <v>212</v>
      </c>
      <c r="B446" s="3" t="s">
        <v>213</v>
      </c>
      <c r="C446" s="12" t="s">
        <v>214</v>
      </c>
      <c r="D446" s="3"/>
    </row>
    <row r="447" spans="1:4" ht="25.5">
      <c r="A447" s="2" t="str">
        <f>"Alain"</f>
        <v>Alain</v>
      </c>
      <c r="B447" s="2" t="str">
        <f>"PRIOU"</f>
        <v>PRIOU</v>
      </c>
      <c r="C447" s="2" t="str">
        <f>"University Paris Ouest"</f>
        <v>University Paris Ouest</v>
      </c>
      <c r="D447" s="2" t="str">
        <f>"France"</f>
        <v>France</v>
      </c>
    </row>
    <row r="448" spans="1:4" ht="12.75">
      <c r="A448" s="2" t="str">
        <f>"Alain"</f>
        <v>Alain</v>
      </c>
      <c r="B448" s="2" t="str">
        <f>"Priou"</f>
        <v>Priou</v>
      </c>
      <c r="C448" s="2" t="str">
        <f>"Project Education"</f>
        <v>Project Education</v>
      </c>
      <c r="D448" s="2">
        <f>""</f>
      </c>
    </row>
    <row r="449" spans="1:4" ht="12.75">
      <c r="A449" s="3" t="s">
        <v>215</v>
      </c>
      <c r="B449" s="3" t="s">
        <v>216</v>
      </c>
      <c r="C449" s="12" t="s">
        <v>217</v>
      </c>
      <c r="D449" s="3"/>
    </row>
    <row r="450" spans="1:4" ht="12.75">
      <c r="A450" s="2" t="str">
        <f>"Veerle"</f>
        <v>Veerle</v>
      </c>
      <c r="B450" s="2" t="str">
        <f>"Puttemans"</f>
        <v>Puttemans</v>
      </c>
      <c r="C450" s="2" t="str">
        <f>"Incite"</f>
        <v>Incite</v>
      </c>
      <c r="D450" s="2">
        <f>""</f>
      </c>
    </row>
    <row r="451" spans="1:4" ht="38.25">
      <c r="A451" s="2" t="str">
        <f>"Natasa"</f>
        <v>Natasa</v>
      </c>
      <c r="B451" s="2" t="str">
        <f>"Radovic"</f>
        <v>Radovic</v>
      </c>
      <c r="C451" s="2" t="str">
        <f>"Ministry of Culture, Media and Information Society"</f>
        <v>Ministry of Culture, Media and Information Society</v>
      </c>
      <c r="D451" s="2" t="str">
        <f>"Serbia"</f>
        <v>Serbia</v>
      </c>
    </row>
    <row r="452" spans="1:4" ht="12.75">
      <c r="A452" s="2" t="str">
        <f>"Kamakshi"</f>
        <v>Kamakshi</v>
      </c>
      <c r="B452" s="2" t="str">
        <f>"Rajagopal"</f>
        <v>Rajagopal</v>
      </c>
      <c r="C452" s="2" t="str">
        <f>"Open Universiteit"</f>
        <v>Open Universiteit</v>
      </c>
      <c r="D452" s="2" t="str">
        <f>"Netherlands"</f>
        <v>Netherlands</v>
      </c>
    </row>
    <row r="453" spans="1:4" ht="12.75">
      <c r="A453" s="2" t="str">
        <f>"Marcello"</f>
        <v>Marcello</v>
      </c>
      <c r="B453" s="2" t="str">
        <f>"Ranucci"</f>
        <v>Ranucci</v>
      </c>
      <c r="C453" s="2" t="str">
        <f>"TECLA Europa"</f>
        <v>TECLA Europa</v>
      </c>
      <c r="D453" s="2">
        <f>""</f>
      </c>
    </row>
    <row r="454" spans="1:4" ht="12.75">
      <c r="A454" s="2" t="str">
        <f>"Luis"</f>
        <v>Luis</v>
      </c>
      <c r="B454" s="2" t="str">
        <f>"Rebelo"</f>
        <v>Rebelo</v>
      </c>
      <c r="C454" s="2" t="str">
        <f>"Companhia de Ideias"</f>
        <v>Companhia de Ideias</v>
      </c>
      <c r="D454" s="2" t="str">
        <f>"Portugal"</f>
        <v>Portugal</v>
      </c>
    </row>
    <row r="455" spans="1:4" ht="25.5">
      <c r="A455" s="2" t="str">
        <f>"regione.emilia-romagna"</f>
        <v>regione.emilia-romagna</v>
      </c>
      <c r="B455" s="2" t="str">
        <f>"regione.emilia-romagna"</f>
        <v>regione.emilia-romagna</v>
      </c>
      <c r="C455" s="2" t="str">
        <f>"Emilia-Romagna Region"</f>
        <v>Emilia-Romagna Region</v>
      </c>
      <c r="D455" s="2">
        <f>""</f>
      </c>
    </row>
    <row r="456" spans="1:4" ht="38.25">
      <c r="A456" s="2" t="str">
        <f>"JUAN"</f>
        <v>JUAN</v>
      </c>
      <c r="B456" s="2" t="str">
        <f>"REIG"</f>
        <v>REIG</v>
      </c>
      <c r="C456" s="2" t="str">
        <f>"CONSULTORES EUROAMERICANOS ASOCIADOS"</f>
        <v>CONSULTORES EUROAMERICANOS ASOCIADOS</v>
      </c>
      <c r="D456" s="2" t="str">
        <f>"Spain"</f>
        <v>Spain</v>
      </c>
    </row>
    <row r="457" spans="1:4" ht="25.5">
      <c r="A457" s="2" t="str">
        <f>"Antonio"</f>
        <v>Antonio</v>
      </c>
      <c r="B457" s="2" t="str">
        <f>"Remirez"</f>
        <v>Remirez</v>
      </c>
      <c r="C457" s="2" t="str">
        <f>"Universidad de Zaragoza"</f>
        <v>Universidad de Zaragoza</v>
      </c>
      <c r="D457" s="2">
        <f>""</f>
      </c>
    </row>
    <row r="458" spans="1:4" ht="38.25">
      <c r="A458" s="2" t="str">
        <f>"Marco"</f>
        <v>Marco</v>
      </c>
      <c r="B458" s="2" t="str">
        <f>"Rendina"</f>
        <v>Rendina</v>
      </c>
      <c r="C458" s="2" t="str">
        <f>"Cinecittà Luce - Audiovisual Historical Archive"</f>
        <v>Cinecittà Luce - Audiovisual Historical Archive</v>
      </c>
      <c r="D458" s="2" t="str">
        <f>"Italy"</f>
        <v>Italy</v>
      </c>
    </row>
    <row r="459" spans="1:4" ht="12.75">
      <c r="A459" s="3" t="s">
        <v>218</v>
      </c>
      <c r="B459" s="3" t="s">
        <v>219</v>
      </c>
      <c r="C459" s="12" t="s">
        <v>220</v>
      </c>
      <c r="D459" s="3"/>
    </row>
    <row r="460" spans="1:4" ht="12.75">
      <c r="A460" s="2" t="str">
        <f>"Vanni"</f>
        <v>Vanni</v>
      </c>
      <c r="B460" s="2" t="str">
        <f>"Resta"</f>
        <v>Resta</v>
      </c>
      <c r="C460" s="2" t="str">
        <f>"Kpeople"</f>
        <v>Kpeople</v>
      </c>
      <c r="D460" s="2" t="str">
        <f>"Italy"</f>
        <v>Italy</v>
      </c>
    </row>
    <row r="461" spans="1:4" ht="25.5">
      <c r="A461" s="2" t="str">
        <f>"Giuseppe"</f>
        <v>Giuseppe</v>
      </c>
      <c r="B461" s="2" t="str">
        <f>"Riccardi"</f>
        <v>Riccardi</v>
      </c>
      <c r="C461" s="2" t="str">
        <f>"CNA Associazione di Bari"</f>
        <v>CNA Associazione di Bari</v>
      </c>
      <c r="D461" s="2" t="str">
        <f>"Italy"</f>
        <v>Italy</v>
      </c>
    </row>
    <row r="462" spans="1:4" ht="12.75">
      <c r="A462" s="2" t="str">
        <f>"Zsofia"</f>
        <v>Zsofia</v>
      </c>
      <c r="B462" s="2" t="str">
        <f>"Rigler"</f>
        <v>Rigler</v>
      </c>
      <c r="C462" s="2" t="str">
        <f>"GMM EUROPE"</f>
        <v>GMM EUROPE</v>
      </c>
      <c r="D462" s="2" t="str">
        <f>"Hungary"</f>
        <v>Hungary</v>
      </c>
    </row>
    <row r="463" spans="1:4" ht="12.75">
      <c r="A463" s="2" t="str">
        <f>"Tapio"</f>
        <v>Tapio</v>
      </c>
      <c r="B463" s="2" t="str">
        <f>"Rissanen"</f>
        <v>Rissanen</v>
      </c>
      <c r="C463" s="2" t="str">
        <f>"EuroConseils sprl"</f>
        <v>EuroConseils sprl</v>
      </c>
      <c r="D463" s="2" t="str">
        <f>"Belgium"</f>
        <v>Belgium</v>
      </c>
    </row>
    <row r="464" spans="1:4" ht="25.5">
      <c r="A464" s="2" t="str">
        <f>"Lucia"</f>
        <v>Lucia</v>
      </c>
      <c r="B464" s="2" t="str">
        <f>"Riva"</f>
        <v>Riva</v>
      </c>
      <c r="C464" s="2" t="str">
        <f>"Centro Europeo Risorse Umane"</f>
        <v>Centro Europeo Risorse Umane</v>
      </c>
      <c r="D464" s="2" t="str">
        <f>"Belgium"</f>
        <v>Belgium</v>
      </c>
    </row>
    <row r="465" spans="1:4" ht="12.75">
      <c r="A465" s="2" t="str">
        <f>"Benedetta"</f>
        <v>Benedetta</v>
      </c>
      <c r="B465" s="2" t="str">
        <f>"Rivetti"</f>
        <v>Rivetti</v>
      </c>
      <c r="C465" s="2" t="str">
        <f>"Italian Government"</f>
        <v>Italian Government</v>
      </c>
      <c r="D465" s="2" t="str">
        <f>"Italy"</f>
        <v>Italy</v>
      </c>
    </row>
    <row r="466" spans="1:4" ht="12.75">
      <c r="A466" s="2" t="str">
        <f>"Ilaria"</f>
        <v>Ilaria</v>
      </c>
      <c r="B466" s="2" t="str">
        <f>"Robaldo"</f>
        <v>Robaldo</v>
      </c>
      <c r="C466" s="2" t="str">
        <f>"Politecnico di Torino"</f>
        <v>Politecnico di Torino</v>
      </c>
      <c r="D466" s="2" t="str">
        <f>"Italy"</f>
        <v>Italy</v>
      </c>
    </row>
    <row r="467" spans="1:4" ht="25.5">
      <c r="A467" s="2" t="str">
        <f>"Carolina"</f>
        <v>Carolina</v>
      </c>
      <c r="B467" s="2" t="str">
        <f>"Rodriguez Bollain"</f>
        <v>Rodriguez Bollain</v>
      </c>
      <c r="C467" s="2" t="str">
        <f>"AGENCIA ANDALUZA DEL CONOCIMIENTO"</f>
        <v>AGENCIA ANDALUZA DEL CONOCIMIENTO</v>
      </c>
      <c r="D467" s="2" t="str">
        <f>"Spain"</f>
        <v>Spain</v>
      </c>
    </row>
    <row r="468" spans="1:4" ht="12.75">
      <c r="A468" s="3" t="s">
        <v>221</v>
      </c>
      <c r="B468" s="3" t="s">
        <v>222</v>
      </c>
      <c r="C468" s="12" t="s">
        <v>223</v>
      </c>
      <c r="D468" s="3"/>
    </row>
    <row r="469" spans="1:4" ht="12.75">
      <c r="A469" s="3" t="s">
        <v>224</v>
      </c>
      <c r="B469" s="3" t="s">
        <v>225</v>
      </c>
      <c r="C469" s="12" t="s">
        <v>226</v>
      </c>
      <c r="D469" s="3"/>
    </row>
    <row r="470" spans="1:4" ht="12.75">
      <c r="A470" s="2" t="str">
        <f>"Mario"</f>
        <v>Mario</v>
      </c>
      <c r="B470" s="2" t="str">
        <f>"Romao"</f>
        <v>Romao</v>
      </c>
      <c r="C470" s="2" t="str">
        <f>"INTEL Corporation"</f>
        <v>INTEL Corporation</v>
      </c>
      <c r="D470" s="2">
        <f>""</f>
      </c>
    </row>
    <row r="471" spans="1:4" ht="25.5">
      <c r="A471" s="2" t="str">
        <f>"Carlota"</f>
        <v>Carlota</v>
      </c>
      <c r="B471" s="2" t="str">
        <f>"Rosés Montesinos"</f>
        <v>Rosés Montesinos</v>
      </c>
      <c r="C471" s="2" t="str">
        <f>"Diputació de Barcelona"</f>
        <v>Diputació de Barcelona</v>
      </c>
      <c r="D471" s="2" t="str">
        <f>"Spain"</f>
        <v>Spain</v>
      </c>
    </row>
    <row r="472" spans="1:4" ht="25.5">
      <c r="A472" s="2" t="str">
        <f>"chiara"</f>
        <v>chiara</v>
      </c>
      <c r="B472" s="2" t="str">
        <f>"rossetti"</f>
        <v>rossetti</v>
      </c>
      <c r="C472" s="2" t="str">
        <f>"Fondazione Ugo Bordoni (FUB)"</f>
        <v>Fondazione Ugo Bordoni (FUB)</v>
      </c>
      <c r="D472" s="2" t="str">
        <f>"Italy"</f>
        <v>Italy</v>
      </c>
    </row>
    <row r="473" spans="1:4" ht="25.5">
      <c r="A473" s="2" t="str">
        <f>"mihai"</f>
        <v>mihai</v>
      </c>
      <c r="B473" s="2" t="str">
        <f>"roxana dona"</f>
        <v>roxana dona</v>
      </c>
      <c r="C473" s="2" t="str">
        <f>"Istituto nazionale di economia agraria"</f>
        <v>Istituto nazionale di economia agraria</v>
      </c>
      <c r="D473" s="2" t="str">
        <f>"Italy"</f>
        <v>Italy</v>
      </c>
    </row>
    <row r="474" spans="1:4" ht="12.75">
      <c r="A474" s="2" t="str">
        <f>"Johan"</f>
        <v>Johan</v>
      </c>
      <c r="B474" s="2" t="str">
        <f>"Ruiter"</f>
        <v>Ruiter</v>
      </c>
      <c r="C474" s="2" t="str">
        <f>"TNO"</f>
        <v>TNO</v>
      </c>
      <c r="D474" s="2" t="str">
        <f>"Netherlands"</f>
        <v>Netherlands</v>
      </c>
    </row>
    <row r="475" spans="1:4" ht="12.75">
      <c r="A475" s="2" t="str">
        <f>"Mark"</f>
        <v>Mark</v>
      </c>
      <c r="B475" s="2" t="str">
        <f>"Rushforth"</f>
        <v>Rushforth</v>
      </c>
      <c r="C475" s="2" t="str">
        <f>"Coventry University"</f>
        <v>Coventry University</v>
      </c>
      <c r="D475" s="2" t="str">
        <f>"United Kingdom"</f>
        <v>United Kingdom</v>
      </c>
    </row>
    <row r="476" spans="1:4" ht="12.75">
      <c r="A476" s="2" t="str">
        <f>"Susie"</f>
        <v>Susie</v>
      </c>
      <c r="B476" s="2" t="str">
        <f>"Ruston"</f>
        <v>Ruston</v>
      </c>
      <c r="C476" s="2" t="str">
        <f>"21c"</f>
        <v>21c</v>
      </c>
      <c r="D476" s="2" t="str">
        <f>"United Kingdom"</f>
        <v>United Kingdom</v>
      </c>
    </row>
    <row r="477" spans="1:4" ht="12.75">
      <c r="A477" s="2" t="str">
        <f>"Giuseppe"</f>
        <v>Giuseppe</v>
      </c>
      <c r="B477" s="2" t="str">
        <f>"Saija"</f>
        <v>Saija</v>
      </c>
      <c r="C477" s="2" t="str">
        <f>"Euknow sprl"</f>
        <v>Euknow sprl</v>
      </c>
      <c r="D477" s="2" t="str">
        <f>"Belgium"</f>
        <v>Belgium</v>
      </c>
    </row>
    <row r="478" spans="1:4" ht="25.5">
      <c r="A478" s="2" t="str">
        <f>"MUSTAFA"</f>
        <v>MUSTAFA</v>
      </c>
      <c r="B478" s="2" t="str">
        <f>"SAMANCIOGLU"</f>
        <v>SAMANCIOGLU</v>
      </c>
      <c r="C478" s="2" t="str">
        <f>"GAZIANTEP GOVERNERSHIP"</f>
        <v>GAZIANTEP GOVERNERSHIP</v>
      </c>
      <c r="D478" s="2">
        <f>""</f>
      </c>
    </row>
    <row r="479" spans="1:4" ht="12.75">
      <c r="A479" s="2" t="str">
        <f>"Stefano"</f>
        <v>Stefano</v>
      </c>
      <c r="B479" s="2" t="str">
        <f>"Santarelli"</f>
        <v>Santarelli</v>
      </c>
      <c r="C479" s="2" t="str">
        <f>"Studio Valla"</f>
        <v>Studio Valla</v>
      </c>
      <c r="D479" s="2" t="str">
        <f>"Italy"</f>
        <v>Italy</v>
      </c>
    </row>
    <row r="480" spans="1:4" ht="25.5">
      <c r="A480" s="2" t="str">
        <f>"Rodrigo"</f>
        <v>Rodrigo</v>
      </c>
      <c r="B480" s="2" t="str">
        <f>"Sanz"</f>
        <v>Sanz</v>
      </c>
      <c r="C480" s="2" t="str">
        <f>"Abaccus Soluciones e Innovacion"</f>
        <v>Abaccus Soluciones e Innovacion</v>
      </c>
      <c r="D480" s="2" t="str">
        <f>"Spain"</f>
        <v>Spain</v>
      </c>
    </row>
    <row r="481" spans="1:4" ht="12.75">
      <c r="A481" s="3" t="s">
        <v>227</v>
      </c>
      <c r="B481" s="3" t="s">
        <v>228</v>
      </c>
      <c r="C481" s="12" t="s">
        <v>229</v>
      </c>
      <c r="D481" s="3"/>
    </row>
    <row r="482" spans="1:4" ht="12.75">
      <c r="A482" s="2" t="str">
        <f>"Chris"</f>
        <v>Chris</v>
      </c>
      <c r="B482" s="2" t="str">
        <f>"Sawyer"</f>
        <v>Sawyer</v>
      </c>
      <c r="C482" s="2" t="str">
        <f>"NHS Direct"</f>
        <v>NHS Direct</v>
      </c>
      <c r="D482" s="2" t="str">
        <f>"United Kingdom"</f>
        <v>United Kingdom</v>
      </c>
    </row>
    <row r="483" spans="1:4" ht="12.75">
      <c r="A483" s="2" t="str">
        <f>"Irene"</f>
        <v>Irene</v>
      </c>
      <c r="B483" s="2" t="str">
        <f>"Scarfone"</f>
        <v>Scarfone</v>
      </c>
      <c r="C483" s="2" t="str">
        <f>"Regione Piemonte"</f>
        <v>Regione Piemonte</v>
      </c>
      <c r="D483" s="2" t="str">
        <f>"Italy"</f>
        <v>Italy</v>
      </c>
    </row>
    <row r="484" spans="1:4" ht="12.75">
      <c r="A484" s="2" t="str">
        <f>"Helen Rebecca"</f>
        <v>Helen Rebecca</v>
      </c>
      <c r="B484" s="2" t="str">
        <f>"Schindler"</f>
        <v>Schindler</v>
      </c>
      <c r="C484" s="2" t="str">
        <f>"RAND EUROPE"</f>
        <v>RAND EUROPE</v>
      </c>
      <c r="D484" s="2" t="str">
        <f>"Belgium"</f>
        <v>Belgium</v>
      </c>
    </row>
    <row r="485" spans="1:4" ht="51">
      <c r="A485" s="2" t="str">
        <f>"PATRICK"</f>
        <v>PATRICK</v>
      </c>
      <c r="B485" s="2" t="str">
        <f>"SCHOULLER"</f>
        <v>SCHOULLER</v>
      </c>
      <c r="C485" s="2" t="str">
        <f>"Ministère de l'Economie des Finances et de l'Industrie"</f>
        <v>Ministère de l'Economie des Finances et de l'Industrie</v>
      </c>
      <c r="D485" s="2" t="str">
        <f>"France"</f>
        <v>France</v>
      </c>
    </row>
    <row r="486" spans="1:4" ht="12.75">
      <c r="A486" s="2" t="str">
        <f>"Marianne"</f>
        <v>Marianne</v>
      </c>
      <c r="B486" s="2" t="str">
        <f>"Schwarz da Silva"</f>
        <v>Schwarz da Silva</v>
      </c>
      <c r="C486" s="2" t="str">
        <f>"SAP Research"</f>
        <v>SAP Research</v>
      </c>
      <c r="D486" s="2" t="str">
        <f>"Belgium"</f>
        <v>Belgium</v>
      </c>
    </row>
    <row r="487" spans="1:4" ht="12.75">
      <c r="A487" s="2" t="str">
        <f>"Tony"</f>
        <v>Tony</v>
      </c>
      <c r="B487" s="2" t="str">
        <f>"Scully"</f>
        <v>Scully</v>
      </c>
      <c r="C487" s="2" t="str">
        <f>"Umeå University"</f>
        <v>Umeå University</v>
      </c>
      <c r="D487" s="2" t="str">
        <f>"Sweden"</f>
        <v>Sweden</v>
      </c>
    </row>
    <row r="488" spans="1:4" ht="12.75">
      <c r="A488" s="2" t="str">
        <f>"Claudio"</f>
        <v>Claudio</v>
      </c>
      <c r="B488" s="2" t="str">
        <f>"Sdogati"</f>
        <v>Sdogati</v>
      </c>
      <c r="C488" s="2" t="str">
        <f>"COOSS Marche Onlus"</f>
        <v>COOSS Marche Onlus</v>
      </c>
      <c r="D488" s="2" t="str">
        <f>"Italy"</f>
        <v>Italy</v>
      </c>
    </row>
    <row r="489" spans="1:4" ht="12.75">
      <c r="A489" s="2" t="str">
        <f>"Mantas"</f>
        <v>Mantas</v>
      </c>
      <c r="B489" s="2" t="str">
        <f>"Sekmokas"</f>
        <v>Sekmokas</v>
      </c>
      <c r="C489" s="2" t="str">
        <f>"Freelancer"</f>
        <v>Freelancer</v>
      </c>
      <c r="D489" s="2">
        <f>""</f>
      </c>
    </row>
    <row r="490" spans="1:4" ht="25.5">
      <c r="A490" s="2" t="str">
        <f>"Ulrich"</f>
        <v>Ulrich</v>
      </c>
      <c r="B490" s="2" t="str">
        <f>"Seldeslachts"</f>
        <v>Seldeslachts</v>
      </c>
      <c r="C490" s="2" t="str">
        <f>"LSEC - Leaders In Security vzw"</f>
        <v>LSEC - Leaders In Security vzw</v>
      </c>
      <c r="D490" s="2" t="str">
        <f>"Belgium"</f>
        <v>Belgium</v>
      </c>
    </row>
    <row r="491" spans="1:4" ht="25.5">
      <c r="A491" s="2" t="str">
        <f>"Manuel"</f>
        <v>Manuel</v>
      </c>
      <c r="B491" s="2" t="str">
        <f>"Serrano"</f>
        <v>Serrano</v>
      </c>
      <c r="C491" s="2" t="str">
        <f>"ETRA Investigación y Desarrollo, S.A."</f>
        <v>ETRA Investigación y Desarrollo, S.A.</v>
      </c>
      <c r="D491" s="2" t="str">
        <f>"Spain"</f>
        <v>Spain</v>
      </c>
    </row>
    <row r="492" spans="1:4" ht="12.75">
      <c r="A492" s="2" t="str">
        <f>"Gabriella"</f>
        <v>Gabriella</v>
      </c>
      <c r="B492" s="2" t="str">
        <f>"Serratrice"</f>
        <v>Serratrice</v>
      </c>
      <c r="C492" s="2" t="str">
        <f>"Regione Piemonte"</f>
        <v>Regione Piemonte</v>
      </c>
      <c r="D492" s="2" t="str">
        <f>"Italy"</f>
        <v>Italy</v>
      </c>
    </row>
    <row r="493" spans="1:4" ht="12.75">
      <c r="A493" s="2" t="str">
        <f>"Ted"</f>
        <v>Ted</v>
      </c>
      <c r="B493" s="2" t="str">
        <f>"Shapiro"</f>
        <v>Shapiro</v>
      </c>
      <c r="C493" s="2" t="str">
        <f>"MPA"</f>
        <v>MPA</v>
      </c>
      <c r="D493" s="2" t="str">
        <f>"Belgium"</f>
        <v>Belgium</v>
      </c>
    </row>
    <row r="494" spans="1:4" ht="25.5">
      <c r="A494" s="2" t="str">
        <f>"Gary"</f>
        <v>Gary</v>
      </c>
      <c r="B494" s="2" t="str">
        <f>"Shuttleworth"</f>
        <v>Shuttleworth</v>
      </c>
      <c r="C494" s="2" t="str">
        <f>"University of Sunderland"</f>
        <v>University of Sunderland</v>
      </c>
      <c r="D494" s="2">
        <f>""</f>
      </c>
    </row>
    <row r="495" spans="1:4" ht="12.75">
      <c r="A495" s="2" t="str">
        <f>"Girolamo"</f>
        <v>Girolamo</v>
      </c>
      <c r="B495" s="2" t="str">
        <f>"Simonetta"</f>
        <v>Simonetta</v>
      </c>
      <c r="C495" s="2" t="str">
        <f>"Cerifos"</f>
        <v>Cerifos</v>
      </c>
      <c r="D495" s="2" t="str">
        <f>"Italy"</f>
        <v>Italy</v>
      </c>
    </row>
    <row r="496" spans="1:4" ht="12.75">
      <c r="A496" s="2" t="str">
        <f>"Luca"</f>
        <v>Luca</v>
      </c>
      <c r="B496" s="2" t="str">
        <f>"Sinopoli"</f>
        <v>Sinopoli</v>
      </c>
      <c r="C496" s="2" t="str">
        <f>"Bxl Puglia"</f>
        <v>Bxl Puglia</v>
      </c>
      <c r="D496" s="2" t="str">
        <f>"Belgium"</f>
        <v>Belgium</v>
      </c>
    </row>
    <row r="497" spans="1:4" ht="12.75">
      <c r="A497" s="2" t="str">
        <f>"Luca"</f>
        <v>Luca</v>
      </c>
      <c r="B497" s="2" t="str">
        <f>"Sinopoli"</f>
        <v>Sinopoli</v>
      </c>
      <c r="C497" s="2" t="str">
        <f>"Bxl Puglia"</f>
        <v>Bxl Puglia</v>
      </c>
      <c r="D497" s="2" t="str">
        <f>"Belgium"</f>
        <v>Belgium</v>
      </c>
    </row>
    <row r="498" spans="1:4" ht="12.75">
      <c r="A498" s="3" t="s">
        <v>230</v>
      </c>
      <c r="B498" s="3" t="s">
        <v>231</v>
      </c>
      <c r="C498" s="12" t="s">
        <v>232</v>
      </c>
      <c r="D498" s="3"/>
    </row>
    <row r="499" spans="1:4" ht="25.5">
      <c r="A499" s="2" t="str">
        <f>"Lex"</f>
        <v>Lex</v>
      </c>
      <c r="B499" s="2" t="str">
        <f>"Slaghuis"</f>
        <v>Slaghuis</v>
      </c>
      <c r="C499" s="2" t="str">
        <f>"HackdeOverheid (HacktheGoverment)"</f>
        <v>HackdeOverheid (HacktheGoverment)</v>
      </c>
      <c r="D499" s="2" t="str">
        <f>"Netherlands"</f>
        <v>Netherlands</v>
      </c>
    </row>
    <row r="500" spans="1:4" ht="12.75">
      <c r="A500" s="2" t="str">
        <f>"Ben"</f>
        <v>Ben</v>
      </c>
      <c r="B500" s="2" t="str">
        <f>"Slijkhuis"</f>
        <v>Slijkhuis</v>
      </c>
      <c r="C500" s="2" t="str">
        <f>"Slijkhuis Consultancy"</f>
        <v>Slijkhuis Consultancy</v>
      </c>
      <c r="D500" s="2" t="str">
        <f>"Netherlands"</f>
        <v>Netherlands</v>
      </c>
    </row>
    <row r="501" spans="1:4" ht="25.5">
      <c r="A501" s="7" t="str">
        <f>"Peter"</f>
        <v>Peter</v>
      </c>
      <c r="B501" s="7" t="str">
        <f>"Smith"</f>
        <v>Smith</v>
      </c>
      <c r="C501" s="7" t="str">
        <f>"University of Sunderland"</f>
        <v>University of Sunderland</v>
      </c>
      <c r="D501" s="7" t="str">
        <f>"United Kingdom"</f>
        <v>United Kingdom</v>
      </c>
    </row>
    <row r="502" spans="1:4" ht="12.75">
      <c r="A502" s="8" t="str">
        <f>"Mark"</f>
        <v>Mark</v>
      </c>
      <c r="B502" s="8" t="str">
        <f>"Smith"</f>
        <v>Smith</v>
      </c>
      <c r="C502" s="8" t="str">
        <f>"Coventry University"</f>
        <v>Coventry University</v>
      </c>
      <c r="D502" s="8" t="str">
        <f>"United Kingdom"</f>
        <v>United Kingdom</v>
      </c>
    </row>
    <row r="503" spans="1:4" ht="12.75">
      <c r="A503" s="9" t="s">
        <v>233</v>
      </c>
      <c r="B503" s="9" t="s">
        <v>234</v>
      </c>
      <c r="C503" s="13" t="s">
        <v>235</v>
      </c>
      <c r="D503" s="9"/>
    </row>
    <row r="504" spans="1:4" ht="25.5">
      <c r="A504" s="10" t="str">
        <f>"Vasileia"</f>
        <v>Vasileia</v>
      </c>
      <c r="B504" s="10" t="str">
        <f>"Sofianou"</f>
        <v>Sofianou</v>
      </c>
      <c r="C504" s="10" t="str">
        <f>"European Economic and Social Committee"</f>
        <v>European Economic and Social Committee</v>
      </c>
      <c r="D504" s="10" t="str">
        <f>"Belgium"</f>
        <v>Belgium</v>
      </c>
    </row>
    <row r="505" spans="1:4" ht="25.5">
      <c r="A505" s="9" t="s">
        <v>236</v>
      </c>
      <c r="B505" s="9" t="s">
        <v>237</v>
      </c>
      <c r="C505" s="13" t="s">
        <v>238</v>
      </c>
      <c r="D505" s="9"/>
    </row>
    <row r="506" spans="1:4" ht="38.25">
      <c r="A506" s="9" t="s">
        <v>239</v>
      </c>
      <c r="B506" s="9" t="s">
        <v>240</v>
      </c>
      <c r="C506" s="13" t="s">
        <v>241</v>
      </c>
      <c r="D506" s="9" t="s">
        <v>242</v>
      </c>
    </row>
    <row r="507" spans="1:4" ht="25.5">
      <c r="A507" s="10" t="str">
        <f>"Silje"</f>
        <v>Silje</v>
      </c>
      <c r="B507" s="10" t="str">
        <f>"Solvang"</f>
        <v>Solvang</v>
      </c>
      <c r="C507" s="10" t="str">
        <f>"South Norway European Office"</f>
        <v>South Norway European Office</v>
      </c>
      <c r="D507" s="10" t="str">
        <f>"Norway"</f>
        <v>Norway</v>
      </c>
    </row>
    <row r="508" spans="1:4" ht="12.75">
      <c r="A508" s="10" t="str">
        <f>"Pedro"</f>
        <v>Pedro</v>
      </c>
      <c r="B508" s="10" t="str">
        <f>"Soria-Rodriguez"</f>
        <v>Soria-Rodriguez</v>
      </c>
      <c r="C508" s="10" t="str">
        <f>"Atos"</f>
        <v>Atos</v>
      </c>
      <c r="D508" s="10" t="str">
        <f>"Spain"</f>
        <v>Spain</v>
      </c>
    </row>
    <row r="509" spans="1:4" ht="25.5">
      <c r="A509" s="10" t="str">
        <f>"Asier"</f>
        <v>Asier</v>
      </c>
      <c r="B509" s="10" t="str">
        <f>"Sorli"</f>
        <v>Sorli</v>
      </c>
      <c r="C509" s="10" t="str">
        <f>"Acciona Infraestructures"</f>
        <v>Acciona Infraestructures</v>
      </c>
      <c r="D509" s="10" t="str">
        <f>"Spain"</f>
        <v>Spain</v>
      </c>
    </row>
    <row r="510" spans="1:4" ht="12.75">
      <c r="A510" s="10" t="str">
        <f>"Menelaos"</f>
        <v>Menelaos</v>
      </c>
      <c r="B510" s="10" t="str">
        <f>"Sotiriou"</f>
        <v>Sotiriou</v>
      </c>
      <c r="C510" s="10" t="str">
        <f>"METIS S.A."</f>
        <v>METIS S.A.</v>
      </c>
      <c r="D510" s="10" t="str">
        <f>"Greece"</f>
        <v>Greece</v>
      </c>
    </row>
    <row r="511" spans="1:4" ht="12.75">
      <c r="A511" s="10" t="str">
        <f>"Sofoklis"</f>
        <v>Sofoklis</v>
      </c>
      <c r="B511" s="10" t="str">
        <f>"Sotiriou"</f>
        <v>Sotiriou</v>
      </c>
      <c r="C511" s="10" t="str">
        <f>"Ellinogermaniki Agogi"</f>
        <v>Ellinogermaniki Agogi</v>
      </c>
      <c r="D511" s="10" t="str">
        <f>"Greece"</f>
        <v>Greece</v>
      </c>
    </row>
    <row r="512" spans="1:4" ht="12.75">
      <c r="A512" s="10" t="str">
        <f>"Miguel"</f>
        <v>Miguel</v>
      </c>
      <c r="B512" s="10" t="str">
        <f>"Sousa"</f>
        <v>Sousa</v>
      </c>
      <c r="C512" s="10" t="str">
        <f>"Inovamais S.A"</f>
        <v>Inovamais S.A</v>
      </c>
      <c r="D512" s="10" t="str">
        <f>"Portugal"</f>
        <v>Portugal</v>
      </c>
    </row>
    <row r="513" spans="1:4" ht="51">
      <c r="A513" s="10" t="str">
        <f>"Elsa"</f>
        <v>Elsa</v>
      </c>
      <c r="B513" s="10" t="str">
        <f>"Sousa"</f>
        <v>Sousa</v>
      </c>
      <c r="C513" s="10" t="str">
        <f>"GIRP - European Association of Pharmaceutical Full-line Wholesalers"</f>
        <v>GIRP - European Association of Pharmaceutical Full-line Wholesalers</v>
      </c>
      <c r="D513" s="10" t="str">
        <f>"Belgium"</f>
        <v>Belgium</v>
      </c>
    </row>
    <row r="514" spans="1:4" ht="25.5">
      <c r="A514" s="10" t="str">
        <f>"anna-maria"</f>
        <v>anna-maria</v>
      </c>
      <c r="B514" s="10" t="str">
        <f>"spyriouni"</f>
        <v>spyriouni</v>
      </c>
      <c r="C514" s="10" t="str">
        <f>"GREATER LONDON AUTHORITY"</f>
        <v>GREATER LONDON AUTHORITY</v>
      </c>
      <c r="D514" s="10" t="str">
        <f>"Belgium"</f>
        <v>Belgium</v>
      </c>
    </row>
    <row r="515" spans="1:4" ht="38.25">
      <c r="A515" s="10" t="str">
        <f>"Andrea"</f>
        <v>Andrea</v>
      </c>
      <c r="B515" s="10" t="str">
        <f>"Stajic"</f>
        <v>Stajic</v>
      </c>
      <c r="C515" s="10" t="str">
        <f>"European Affairs Fund / Vojvodina European Office"</f>
        <v>European Affairs Fund / Vojvodina European Office</v>
      </c>
      <c r="D515" s="10" t="str">
        <f>"Belgium"</f>
        <v>Belgium</v>
      </c>
    </row>
    <row r="516" spans="1:4" ht="12.75">
      <c r="A516" s="10" t="str">
        <f>"Jivko"</f>
        <v>Jivko</v>
      </c>
      <c r="B516" s="10" t="str">
        <f>"Stalev"</f>
        <v>Stalev</v>
      </c>
      <c r="C516" s="10" t="str">
        <f>"Bulgarian Post PLC"</f>
        <v>Bulgarian Post PLC</v>
      </c>
      <c r="D516" s="10" t="str">
        <f>"Bulgaria"</f>
        <v>Bulgaria</v>
      </c>
    </row>
    <row r="517" spans="1:4" ht="25.5">
      <c r="A517" s="10" t="str">
        <f>"Alexandru"</f>
        <v>Alexandru</v>
      </c>
      <c r="B517" s="10" t="str">
        <f>"Stan"</f>
        <v>Stan</v>
      </c>
      <c r="C517" s="10" t="str">
        <f>"IN2 search interfaces development ltd"</f>
        <v>IN2 search interfaces development ltd</v>
      </c>
      <c r="D517" s="10" t="str">
        <f>"United Kingdom"</f>
        <v>United Kingdom</v>
      </c>
    </row>
    <row r="518" spans="1:4" ht="12.75">
      <c r="A518" s="10" t="str">
        <f>"Ewout (Wout)"</f>
        <v>Ewout (Wout)</v>
      </c>
      <c r="B518" s="10" t="str">
        <f>"Steurs"</f>
        <v>Steurs</v>
      </c>
      <c r="C518" s="10" t="str">
        <f>"WE Solutions bvba"</f>
        <v>WE Solutions bvba</v>
      </c>
      <c r="D518" s="10" t="str">
        <f>"Belgium"</f>
        <v>Belgium</v>
      </c>
    </row>
    <row r="519" spans="1:4" ht="12.75">
      <c r="A519" s="10" t="str">
        <f>"Hadleigh"</f>
        <v>Hadleigh</v>
      </c>
      <c r="B519" s="10" t="str">
        <f>"Stollar"</f>
        <v>Stollar</v>
      </c>
      <c r="C519" s="10" t="str">
        <f>"NHS Direct"</f>
        <v>NHS Direct</v>
      </c>
      <c r="D519" s="10" t="str">
        <f>"United Kingdom"</f>
        <v>United Kingdom</v>
      </c>
    </row>
    <row r="520" spans="1:4" ht="25.5">
      <c r="A520" s="10" t="str">
        <f>"Majda"</f>
        <v>Majda</v>
      </c>
      <c r="B520" s="10" t="str">
        <f>"Stoshikj"</f>
        <v>Stoshikj</v>
      </c>
      <c r="C520" s="10" t="str">
        <f>"Logica Spain and LATAM"</f>
        <v>Logica Spain and LATAM</v>
      </c>
      <c r="D520" s="10" t="str">
        <f>"Spain"</f>
        <v>Spain</v>
      </c>
    </row>
    <row r="521" spans="1:4" ht="38.25">
      <c r="A521" s="10" t="str">
        <f>"Veli"</f>
        <v>Veli</v>
      </c>
      <c r="B521" s="10" t="str">
        <f>"Stroetmann"</f>
        <v>Stroetmann</v>
      </c>
      <c r="C521" s="10" t="str">
        <f>"empirica Communication &amp; Technology Research"</f>
        <v>empirica Communication &amp; Technology Research</v>
      </c>
      <c r="D521" s="10" t="str">
        <f>"Germany"</f>
        <v>Germany</v>
      </c>
    </row>
    <row r="522" spans="1:4" ht="12.75">
      <c r="A522" s="10" t="str">
        <f>"Anja"</f>
        <v>Anja</v>
      </c>
      <c r="B522" s="10" t="str">
        <f>"Strootker"</f>
        <v>Strootker</v>
      </c>
      <c r="C522" s="10" t="str">
        <f>"Incite"</f>
        <v>Incite</v>
      </c>
      <c r="D522" s="10" t="str">
        <f>"Belgium"</f>
        <v>Belgium</v>
      </c>
    </row>
    <row r="523" spans="1:4" ht="25.5">
      <c r="A523" s="10" t="str">
        <f>"Walter"</f>
        <v>Walter</v>
      </c>
      <c r="B523" s="10" t="str">
        <f>"Swagemakers"</f>
        <v>Swagemakers</v>
      </c>
      <c r="C523" s="10" t="str">
        <f>"EYE Film Institutre Netherlands"</f>
        <v>EYE Film Institutre Netherlands</v>
      </c>
      <c r="D523" s="10" t="str">
        <f>"Netherlands"</f>
        <v>Netherlands</v>
      </c>
    </row>
    <row r="524" spans="1:4" ht="25.5">
      <c r="A524" s="10" t="str">
        <f>"jean-louis"</f>
        <v>jean-louis</v>
      </c>
      <c r="B524" s="10" t="str">
        <f>"szabo"</f>
        <v>szabo</v>
      </c>
      <c r="C524" s="10" t="str">
        <f>"Commissariat à l'énergie atomique"</f>
        <v>Commissariat à l'énergie atomique</v>
      </c>
      <c r="D524" s="10" t="str">
        <f>"France"</f>
        <v>France</v>
      </c>
    </row>
    <row r="525" spans="1:4" ht="25.5">
      <c r="A525" s="10" t="str">
        <f>"Marco"</f>
        <v>Marco</v>
      </c>
      <c r="B525" s="10" t="str">
        <f>"Tabladini"</f>
        <v>Tabladini</v>
      </c>
      <c r="C525" s="10" t="str">
        <f>"Gruppo Impresa Finance Srl"</f>
        <v>Gruppo Impresa Finance Srl</v>
      </c>
      <c r="D525" s="10" t="str">
        <f>"Italy"</f>
        <v>Italy</v>
      </c>
    </row>
    <row r="526" spans="1:4" ht="25.5">
      <c r="A526" s="10" t="str">
        <f>"Sofie"</f>
        <v>Sofie</v>
      </c>
      <c r="B526" s="10" t="str">
        <f>"Taes"</f>
        <v>Taes</v>
      </c>
      <c r="C526" s="10" t="str">
        <f>"Alamire Foundation - K.U.Leuven"</f>
        <v>Alamire Foundation - K.U.Leuven</v>
      </c>
      <c r="D526" s="10" t="str">
        <f>"Belgium"</f>
        <v>Belgium</v>
      </c>
    </row>
    <row r="527" spans="1:4" ht="12.75">
      <c r="A527" s="10" t="str">
        <f>"Nubia Alessandra"</f>
        <v>Nubia Alessandra</v>
      </c>
      <c r="B527" s="10" t="str">
        <f>"Tagliaferro"</f>
        <v>Tagliaferro</v>
      </c>
      <c r="C527" s="10" t="str">
        <f>"Reggio nel mondo"</f>
        <v>Reggio nel mondo</v>
      </c>
      <c r="D527" s="10" t="str">
        <f>"Italy"</f>
        <v>Italy</v>
      </c>
    </row>
    <row r="528" spans="1:4" ht="25.5">
      <c r="A528" s="10" t="str">
        <f>"YASUSHI"</f>
        <v>YASUSHI</v>
      </c>
      <c r="B528" s="10" t="str">
        <f>"TAKEDA"</f>
        <v>TAKEDA</v>
      </c>
      <c r="C528" s="10" t="str">
        <f>"NEC EUROPE BRUSSELS OFFICE"</f>
        <v>NEC EUROPE BRUSSELS OFFICE</v>
      </c>
      <c r="D528" s="10" t="str">
        <f>"Belgium"</f>
        <v>Belgium</v>
      </c>
    </row>
    <row r="529" spans="1:4" ht="12.75">
      <c r="A529" s="9" t="s">
        <v>243</v>
      </c>
      <c r="B529" s="9" t="s">
        <v>244</v>
      </c>
      <c r="C529" s="13" t="s">
        <v>245</v>
      </c>
      <c r="D529" s="9"/>
    </row>
    <row r="530" spans="1:4" ht="12.75">
      <c r="A530" s="10" t="str">
        <f>"Giorgio"</f>
        <v>Giorgio</v>
      </c>
      <c r="B530" s="10" t="str">
        <f>"Tarchi"</f>
        <v>Tarchi</v>
      </c>
      <c r="C530" s="10" t="str">
        <f>"Skylogic S.p.A."</f>
        <v>Skylogic S.p.A.</v>
      </c>
      <c r="D530" s="10">
        <f>""</f>
      </c>
    </row>
    <row r="531" spans="1:4" ht="51">
      <c r="A531" s="10" t="str">
        <f>"Tiziana"</f>
        <v>Tiziana</v>
      </c>
      <c r="B531" s="10" t="str">
        <f>"Tartari"</f>
        <v>Tartari</v>
      </c>
      <c r="C531" s="10" t="str">
        <f>"TUTOR European Centre for the Development of Advanced Expertise"</f>
        <v>TUTOR European Centre for the Development of Advanced Expertise</v>
      </c>
      <c r="D531" s="10" t="str">
        <f>"Italy"</f>
        <v>Italy</v>
      </c>
    </row>
    <row r="532" spans="1:4" ht="12.75">
      <c r="A532" s="10" t="str">
        <f>"Elena"</f>
        <v>Elena</v>
      </c>
      <c r="B532" s="10" t="str">
        <f>"Tavlaki"</f>
        <v>Tavlaki</v>
      </c>
      <c r="C532" s="10" t="str">
        <f>"Signosis Sprl."</f>
        <v>Signosis Sprl.</v>
      </c>
      <c r="D532" s="10" t="str">
        <f>"Belgium"</f>
        <v>Belgium</v>
      </c>
    </row>
    <row r="533" spans="1:4" ht="25.5">
      <c r="A533" s="9" t="s">
        <v>246</v>
      </c>
      <c r="B533" s="9" t="s">
        <v>247</v>
      </c>
      <c r="C533" s="13" t="s">
        <v>248</v>
      </c>
      <c r="D533" s="9" t="s">
        <v>249</v>
      </c>
    </row>
    <row r="534" spans="1:4" ht="63.75">
      <c r="A534" s="10" t="str">
        <f>"Liliana"</f>
        <v>Liliana</v>
      </c>
      <c r="B534" s="10" t="str">
        <f>"Terranova"</f>
        <v>Terranova</v>
      </c>
      <c r="C534" s="10" t="str">
        <f>"Sogei Società Generale d'Informatica - Ministry of Economy and Finance"</f>
        <v>Sogei Società Generale d'Informatica - Ministry of Economy and Finance</v>
      </c>
      <c r="D534" s="10" t="str">
        <f>"Italy"</f>
        <v>Italy</v>
      </c>
    </row>
    <row r="535" spans="1:4" ht="25.5">
      <c r="A535" s="10" t="str">
        <f>"Charalampos"</f>
        <v>Charalampos</v>
      </c>
      <c r="B535" s="10" t="str">
        <f>"Thanopoulos"</f>
        <v>Thanopoulos</v>
      </c>
      <c r="C535" s="10" t="str">
        <f>"Agro-Know technologies"</f>
        <v>Agro-Know technologies</v>
      </c>
      <c r="D535" s="10" t="str">
        <f>"Greece"</f>
        <v>Greece</v>
      </c>
    </row>
    <row r="536" spans="1:4" ht="12.75">
      <c r="A536" s="10" t="str">
        <f>"Yvon"</f>
        <v>Yvon</v>
      </c>
      <c r="B536" s="10" t="str">
        <f>"THIEC"</f>
        <v>THIEC</v>
      </c>
      <c r="C536" s="10" t="str">
        <f>"EUROCINEMA"</f>
        <v>EUROCINEMA</v>
      </c>
      <c r="D536" s="10" t="str">
        <f>"Belgium"</f>
        <v>Belgium</v>
      </c>
    </row>
    <row r="537" spans="1:4" ht="25.5">
      <c r="A537" s="10" t="str">
        <f>"Van Cauwenberg"</f>
        <v>Van Cauwenberg</v>
      </c>
      <c r="B537" s="10" t="str">
        <f>"Thierry"</f>
        <v>Thierry</v>
      </c>
      <c r="C537" s="10" t="str">
        <f>"Service Public de Wallonie"</f>
        <v>Service Public de Wallonie</v>
      </c>
      <c r="D537" s="10" t="str">
        <f>"Belgium"</f>
        <v>Belgium</v>
      </c>
    </row>
    <row r="538" spans="1:4" ht="12.75">
      <c r="A538" s="10" t="str">
        <f>"Nikki"</f>
        <v>Nikki</v>
      </c>
      <c r="B538" s="10" t="str">
        <f>"Timmermans"</f>
        <v>Timmermans</v>
      </c>
      <c r="C538" s="10" t="str">
        <f>"Kennisland"</f>
        <v>Kennisland</v>
      </c>
      <c r="D538" s="10" t="str">
        <f>"Netherlands"</f>
        <v>Netherlands</v>
      </c>
    </row>
    <row r="539" spans="1:4" ht="25.5">
      <c r="A539" s="10" t="str">
        <f>"Chris"</f>
        <v>Chris</v>
      </c>
      <c r="B539" s="10" t="str">
        <f>"Todd"</f>
        <v>Todd</v>
      </c>
      <c r="C539" s="10" t="str">
        <f>"The University of Manchester"</f>
        <v>The University of Manchester</v>
      </c>
      <c r="D539" s="10">
        <f>""</f>
      </c>
    </row>
    <row r="540" spans="1:4" ht="25.5">
      <c r="A540" s="9" t="s">
        <v>250</v>
      </c>
      <c r="B540" s="9" t="s">
        <v>251</v>
      </c>
      <c r="C540" s="13" t="s">
        <v>252</v>
      </c>
      <c r="D540" s="9"/>
    </row>
    <row r="541" spans="1:4" ht="12.75">
      <c r="A541" s="10" t="str">
        <f>"Kleidia"</f>
        <v>Kleidia</v>
      </c>
      <c r="B541" s="10" t="str">
        <f>"Topalli"</f>
        <v>Topalli</v>
      </c>
      <c r="C541" s="10" t="str">
        <f>"TEPPFA"</f>
        <v>TEPPFA</v>
      </c>
      <c r="D541" s="10">
        <f>""</f>
      </c>
    </row>
    <row r="542" spans="1:4" ht="12.75">
      <c r="A542" s="10" t="str">
        <f>"Paolo"</f>
        <v>Paolo</v>
      </c>
      <c r="B542" s="10" t="str">
        <f>"Toppan"</f>
        <v>Toppan</v>
      </c>
      <c r="C542" s="10" t="str">
        <f>"IEIIT-CNR"</f>
        <v>IEIIT-CNR</v>
      </c>
      <c r="D542" s="10" t="str">
        <f>"Italy"</f>
        <v>Italy</v>
      </c>
    </row>
    <row r="543" spans="1:4" ht="12.75">
      <c r="A543" s="9" t="s">
        <v>253</v>
      </c>
      <c r="B543" s="9" t="s">
        <v>254</v>
      </c>
      <c r="C543" s="13" t="s">
        <v>255</v>
      </c>
      <c r="D543" s="9"/>
    </row>
    <row r="544" spans="1:4" ht="25.5">
      <c r="A544" s="10" t="str">
        <f>"alessandra"</f>
        <v>alessandra</v>
      </c>
      <c r="B544" s="10" t="str">
        <f>"tossut"</f>
        <v>tossut</v>
      </c>
      <c r="C544" s="10" t="str">
        <f>"Intesa Sanpaolo Eurodesk"</f>
        <v>Intesa Sanpaolo Eurodesk</v>
      </c>
      <c r="D544" s="10">
        <f>""</f>
      </c>
    </row>
    <row r="545" spans="1:4" ht="12.75">
      <c r="A545" s="10" t="str">
        <f>"Kalina"</f>
        <v>Kalina</v>
      </c>
      <c r="B545" s="10" t="str">
        <f>"Toteva"</f>
        <v>Toteva</v>
      </c>
      <c r="C545" s="10" t="str">
        <f>"Bulgarian Posts Plc"</f>
        <v>Bulgarian Posts Plc</v>
      </c>
      <c r="D545" s="10" t="str">
        <f>"Bulgaria"</f>
        <v>Bulgaria</v>
      </c>
    </row>
    <row r="546" spans="1:4" ht="25.5">
      <c r="A546" s="10" t="str">
        <f>"Marta"</f>
        <v>Marta</v>
      </c>
      <c r="B546" s="10" t="str">
        <f>"Truco Calbet"</f>
        <v>Truco Calbet</v>
      </c>
      <c r="C546" s="10" t="str">
        <f>"Alianza 4 Universidades"</f>
        <v>Alianza 4 Universidades</v>
      </c>
      <c r="D546" s="10" t="str">
        <f>"Spain"</f>
        <v>Spain</v>
      </c>
    </row>
    <row r="547" spans="1:4" ht="51">
      <c r="A547" s="10" t="str">
        <f>"Elisabeth"</f>
        <v>Elisabeth</v>
      </c>
      <c r="B547" s="10" t="str">
        <f>"Tryselius"</f>
        <v>Tryselius</v>
      </c>
      <c r="C547" s="10" t="str">
        <f>"PIN-SME - Pan European ICT and eBusiness network for SMEs"</f>
        <v>PIN-SME - Pan European ICT and eBusiness network for SMEs</v>
      </c>
      <c r="D547" s="10">
        <f>""</f>
      </c>
    </row>
    <row r="548" spans="1:4" ht="25.5">
      <c r="A548" s="10" t="str">
        <f>"DESPINA"</f>
        <v>DESPINA</v>
      </c>
      <c r="B548" s="10" t="str">
        <f>"TSIKOUDI"</f>
        <v>TSIKOUDI</v>
      </c>
      <c r="C548" s="10" t="str">
        <f>"EUROPEAN OFFICE OF CYPRUS"</f>
        <v>EUROPEAN OFFICE OF CYPRUS</v>
      </c>
      <c r="D548" s="10">
        <f>""</f>
      </c>
    </row>
    <row r="549" spans="1:4" ht="25.5">
      <c r="A549" s="10" t="str">
        <f>"Enrico"</f>
        <v>Enrico</v>
      </c>
      <c r="B549" s="10" t="str">
        <f>"Turrin"</f>
        <v>Turrin</v>
      </c>
      <c r="C549" s="10" t="str">
        <f>"Federation of European Publishers"</f>
        <v>Federation of European Publishers</v>
      </c>
      <c r="D549" s="10" t="str">
        <f>"Belgium"</f>
        <v>Belgium</v>
      </c>
    </row>
    <row r="550" spans="1:4" ht="12.75">
      <c r="A550" s="10" t="str">
        <f>"Saulius"</f>
        <v>Saulius</v>
      </c>
      <c r="B550" s="10" t="str">
        <f>"Urbanas"</f>
        <v>Urbanas</v>
      </c>
      <c r="C550" s="10" t="str">
        <f>"EuroGeographics"</f>
        <v>EuroGeographics</v>
      </c>
      <c r="D550" s="10" t="str">
        <f>"Belgium"</f>
        <v>Belgium</v>
      </c>
    </row>
    <row r="551" spans="1:4" ht="25.5">
      <c r="A551" s="10" t="str">
        <f>"Iñigo"</f>
        <v>Iñigo</v>
      </c>
      <c r="B551" s="10" t="str">
        <f>"Urizar"</f>
        <v>Urizar</v>
      </c>
      <c r="C551" s="10" t="str">
        <f>"Zabala Innovation Consulting"</f>
        <v>Zabala Innovation Consulting</v>
      </c>
      <c r="D551" s="10">
        <f>""</f>
      </c>
    </row>
    <row r="552" spans="1:4" ht="12.75">
      <c r="A552" s="9" t="s">
        <v>256</v>
      </c>
      <c r="B552" s="9" t="s">
        <v>257</v>
      </c>
      <c r="C552" s="13" t="s">
        <v>229</v>
      </c>
      <c r="D552" s="9"/>
    </row>
    <row r="553" spans="1:4" ht="12.75">
      <c r="A553" s="9" t="s">
        <v>258</v>
      </c>
      <c r="B553" s="9" t="s">
        <v>259</v>
      </c>
      <c r="C553" s="13" t="s">
        <v>260</v>
      </c>
      <c r="D553" s="9"/>
    </row>
    <row r="554" spans="1:4" ht="25.5">
      <c r="A554" s="10" t="str">
        <f>"Lieke"</f>
        <v>Lieke</v>
      </c>
      <c r="B554" s="10" t="str">
        <f>"van Alphen"</f>
        <v>van Alphen</v>
      </c>
      <c r="C554" s="10" t="str">
        <f>"Province Noord-Brabant"</f>
        <v>Province Noord-Brabant</v>
      </c>
      <c r="D554" s="10" t="str">
        <f>"Netherlands"</f>
        <v>Netherlands</v>
      </c>
    </row>
    <row r="555" spans="1:4" ht="12.75">
      <c r="A555" s="9" t="s">
        <v>261</v>
      </c>
      <c r="B555" s="9" t="s">
        <v>262</v>
      </c>
      <c r="C555" s="13" t="s">
        <v>263</v>
      </c>
      <c r="D555" s="9"/>
    </row>
    <row r="556" spans="1:4" ht="25.5">
      <c r="A556" s="10" t="str">
        <f>"Alexandra Lorena"</f>
        <v>Alexandra Lorena</v>
      </c>
      <c r="B556" s="10" t="str">
        <f>"Van de Kolk"</f>
        <v>Van de Kolk</v>
      </c>
      <c r="C556" s="10" t="str">
        <f>"Fundación Galicia Europa"</f>
        <v>Fundación Galicia Europa</v>
      </c>
      <c r="D556" s="10">
        <f>""</f>
      </c>
    </row>
    <row r="557" spans="1:4" ht="12.75">
      <c r="A557" s="10" t="str">
        <f>"Martin"</f>
        <v>Martin</v>
      </c>
      <c r="B557" s="10" t="str">
        <f>"van der Beek"</f>
        <v>van der Beek</v>
      </c>
      <c r="C557" s="10" t="str">
        <f>"Object Vision BV"</f>
        <v>Object Vision BV</v>
      </c>
      <c r="D557" s="10" t="str">
        <f>"Netherlands"</f>
        <v>Netherlands</v>
      </c>
    </row>
    <row r="558" spans="1:4" ht="38.25">
      <c r="A558" s="11" t="str">
        <f>"Pascale"</f>
        <v>Pascale</v>
      </c>
      <c r="B558" s="11" t="str">
        <f>"Van Dinter"</f>
        <v>Van Dinter</v>
      </c>
      <c r="C558" s="10" t="str">
        <f>"Scientific and Technical Information Service"</f>
        <v>Scientific and Technical Information Service</v>
      </c>
      <c r="D558" s="10" t="str">
        <f>"Belgium"</f>
        <v>Belgium</v>
      </c>
    </row>
    <row r="559" spans="1:4" ht="25.5">
      <c r="A559" s="11" t="str">
        <f>"Pascale"</f>
        <v>Pascale</v>
      </c>
      <c r="B559" s="11" t="str">
        <f>"Van Durme"</f>
        <v>Van Durme</v>
      </c>
      <c r="C559" s="10" t="str">
        <f>"TechSoup Global / Socialware"</f>
        <v>TechSoup Global / Socialware</v>
      </c>
      <c r="D559" s="10" t="str">
        <f>"Belgium"</f>
        <v>Belgium</v>
      </c>
    </row>
    <row r="560" spans="1:4" ht="38.25">
      <c r="A560" s="10" t="str">
        <f>"Sarah"</f>
        <v>Sarah</v>
      </c>
      <c r="B560" s="10" t="str">
        <f>"Van Haelst"</f>
        <v>Van Haelst</v>
      </c>
      <c r="C560" s="10" t="str">
        <f>"ABE (Agence Bruxelloise pour l'Entreprise)"</f>
        <v>ABE (Agence Bruxelloise pour l'Entreprise)</v>
      </c>
      <c r="D560" s="10" t="str">
        <f>"Belgium"</f>
        <v>Belgium</v>
      </c>
    </row>
    <row r="561" spans="1:4" ht="12.75">
      <c r="A561" s="10" t="str">
        <f>"Manon"</f>
        <v>Manon</v>
      </c>
      <c r="B561" s="10" t="str">
        <f>"van Leeuwen"</f>
        <v>van Leeuwen</v>
      </c>
      <c r="C561" s="10" t="str">
        <f>"EOLAS S.L."</f>
        <v>EOLAS S.L.</v>
      </c>
      <c r="D561" s="10" t="str">
        <f>"Spain"</f>
        <v>Spain</v>
      </c>
    </row>
    <row r="562" spans="1:4" ht="12.75">
      <c r="A562" s="10" t="str">
        <f>"Ann"</f>
        <v>Ann</v>
      </c>
      <c r="B562" s="10" t="str">
        <f>"Van Menxel"</f>
        <v>Van Menxel</v>
      </c>
      <c r="C562" s="10" t="str">
        <f>"European Commission"</f>
        <v>European Commission</v>
      </c>
      <c r="D562" s="10" t="str">
        <f>"Belgium"</f>
        <v>Belgium</v>
      </c>
    </row>
    <row r="563" spans="1:4" ht="12.75">
      <c r="A563" s="10" t="str">
        <f>"Ellen"</f>
        <v>Ellen</v>
      </c>
      <c r="B563" s="10" t="str">
        <f>"van Noort"</f>
        <v>van Noort</v>
      </c>
      <c r="C563" s="10" t="str">
        <f>"Pictura Imaginis bv"</f>
        <v>Pictura Imaginis bv</v>
      </c>
      <c r="D563" s="10">
        <f>""</f>
      </c>
    </row>
    <row r="564" spans="1:4" ht="12.75">
      <c r="A564" s="10" t="str">
        <f>"Jan"</f>
        <v>Jan</v>
      </c>
      <c r="B564" s="10" t="str">
        <f>"Van Ooteghem"</f>
        <v>Van Ooteghem</v>
      </c>
      <c r="C564" s="10" t="str">
        <f>"UGent - IBBT"</f>
        <v>UGent - IBBT</v>
      </c>
      <c r="D564" s="10" t="str">
        <f>"Belgium"</f>
        <v>Belgium</v>
      </c>
    </row>
    <row r="565" spans="1:4" ht="25.5">
      <c r="A565" s="10" t="str">
        <f>"Eva"</f>
        <v>Eva</v>
      </c>
      <c r="B565" s="10" t="str">
        <f>"Van Passel"</f>
        <v>Van Passel</v>
      </c>
      <c r="C565" s="10" t="str">
        <f>"IBBT-SMIT, Vrije Universiteit Brussel"</f>
        <v>IBBT-SMIT, Vrije Universiteit Brussel</v>
      </c>
      <c r="D565" s="10" t="str">
        <f>"Belgium"</f>
        <v>Belgium</v>
      </c>
    </row>
    <row r="566" spans="1:4" ht="12.75">
      <c r="A566" s="10" t="str">
        <f>"Els"</f>
        <v>Els</v>
      </c>
      <c r="B566" s="10" t="str">
        <f>"Van Rompay"</f>
        <v>Van Rompay</v>
      </c>
      <c r="C566" s="10" t="str">
        <f>"Lannoo publishers"</f>
        <v>Lannoo publishers</v>
      </c>
      <c r="D566" s="10" t="str">
        <f>"Belgium"</f>
        <v>Belgium</v>
      </c>
    </row>
    <row r="567" spans="1:4" ht="25.5">
      <c r="A567" s="9" t="s">
        <v>264</v>
      </c>
      <c r="B567" s="9" t="s">
        <v>265</v>
      </c>
      <c r="C567" s="13" t="s">
        <v>266</v>
      </c>
      <c r="D567" s="9"/>
    </row>
    <row r="568" spans="1:4" ht="12.75">
      <c r="A568" s="10" t="str">
        <f>"Mathy"</f>
        <v>Mathy</v>
      </c>
      <c r="B568" s="10" t="str">
        <f>"Vanbuel"</f>
        <v>Vanbuel</v>
      </c>
      <c r="C568" s="10" t="str">
        <f>"ATiT"</f>
        <v>ATiT</v>
      </c>
      <c r="D568" s="10" t="str">
        <f>"Belgium"</f>
        <v>Belgium</v>
      </c>
    </row>
    <row r="569" spans="1:4" ht="63.75">
      <c r="A569" s="10" t="str">
        <f>"Theodora"</f>
        <v>Theodora</v>
      </c>
      <c r="B569" s="10" t="str">
        <f>"Varvarigou"</f>
        <v>Varvarigou</v>
      </c>
      <c r="C569" s="10" t="str">
        <f>"Institute of Communication and Computer Systems / National Technical University of Athens"</f>
        <v>Institute of Communication and Computer Systems / National Technical University of Athens</v>
      </c>
      <c r="D569" s="10" t="str">
        <f>"Greece"</f>
        <v>Greece</v>
      </c>
    </row>
    <row r="570" spans="1:4" ht="51">
      <c r="A570" s="10" t="str">
        <f>"NIKOLAOS"</f>
        <v>NIKOLAOS</v>
      </c>
      <c r="B570" s="10" t="str">
        <f>"VASILAKIS"</f>
        <v>VASILAKIS</v>
      </c>
      <c r="C570" s="10" t="str">
        <f>"GENERAL SECRETARIAT FOR YOUTH (MINISTRY OF EDUCATION)"</f>
        <v>GENERAL SECRETARIAT FOR YOUTH (MINISTRY OF EDUCATION)</v>
      </c>
      <c r="D570" s="10" t="str">
        <f>"Greece"</f>
        <v>Greece</v>
      </c>
    </row>
    <row r="571" spans="1:4" ht="12.75">
      <c r="A571" s="9" t="s">
        <v>267</v>
      </c>
      <c r="B571" s="9" t="s">
        <v>268</v>
      </c>
      <c r="C571" s="13" t="s">
        <v>269</v>
      </c>
      <c r="D571" s="9"/>
    </row>
    <row r="572" spans="1:4" ht="12.75">
      <c r="A572" s="10" t="str">
        <f>"Luis"</f>
        <v>Luis</v>
      </c>
      <c r="B572" s="10" t="str">
        <f>"Velasco"</f>
        <v>Velasco</v>
      </c>
      <c r="C572" s="10" t="str">
        <f>"EDPS"</f>
        <v>EDPS</v>
      </c>
      <c r="D572" s="10">
        <f>""</f>
      </c>
    </row>
    <row r="573" spans="1:4" ht="12.75">
      <c r="A573" s="10" t="str">
        <f>"Carla"</f>
        <v>Carla</v>
      </c>
      <c r="B573" s="10" t="str">
        <f>"Velasco Martins"</f>
        <v>Velasco Martins</v>
      </c>
      <c r="C573" s="10" t="str">
        <f>"Eupportunity"</f>
        <v>Eupportunity</v>
      </c>
      <c r="D573" s="10" t="str">
        <f>"Portugal"</f>
        <v>Portugal</v>
      </c>
    </row>
    <row r="574" spans="1:4" ht="12.75">
      <c r="A574" s="10" t="str">
        <f>"Katya"</f>
        <v>Katya</v>
      </c>
      <c r="B574" s="10" t="str">
        <f>"Velikova"</f>
        <v>Velikova</v>
      </c>
      <c r="C574" s="10" t="str">
        <f>"Bulgarian Post PLC"</f>
        <v>Bulgarian Post PLC</v>
      </c>
      <c r="D574" s="10" t="str">
        <f>"Bulgaria"</f>
        <v>Bulgaria</v>
      </c>
    </row>
    <row r="575" spans="1:4" ht="12.75">
      <c r="A575" s="10" t="str">
        <f>"Marc"</f>
        <v>Marc</v>
      </c>
      <c r="B575" s="10" t="str">
        <f>"Verbruggen"</f>
        <v>Verbruggen</v>
      </c>
      <c r="C575" s="10" t="str">
        <f>"Alcatel-Lucent Bell"</f>
        <v>Alcatel-Lucent Bell</v>
      </c>
      <c r="D575" s="10" t="str">
        <f>"Belgium"</f>
        <v>Belgium</v>
      </c>
    </row>
    <row r="576" spans="1:4" ht="12.75">
      <c r="A576" s="9" t="s">
        <v>270</v>
      </c>
      <c r="B576" s="9" t="s">
        <v>271</v>
      </c>
      <c r="C576" s="13"/>
      <c r="D576" s="9"/>
    </row>
    <row r="577" spans="1:4" ht="12.75">
      <c r="A577" s="9" t="s">
        <v>272</v>
      </c>
      <c r="B577" s="9" t="s">
        <v>273</v>
      </c>
      <c r="C577" s="13" t="s">
        <v>176</v>
      </c>
      <c r="D577" s="9"/>
    </row>
    <row r="578" spans="1:4" ht="12.75">
      <c r="A578" s="10" t="str">
        <f>"Philippe"</f>
        <v>Philippe</v>
      </c>
      <c r="B578" s="10" t="str">
        <f>"Verstichel"</f>
        <v>Verstichel</v>
      </c>
      <c r="C578" s="10" t="str">
        <f>"Entreprise Globale"</f>
        <v>Entreprise Globale</v>
      </c>
      <c r="D578" s="10" t="str">
        <f>"Belgium"</f>
        <v>Belgium</v>
      </c>
    </row>
    <row r="579" spans="1:4" ht="25.5">
      <c r="A579" s="10" t="str">
        <f>"Isella"</f>
        <v>Isella</v>
      </c>
      <c r="B579" s="10" t="str">
        <f>"Vicini"</f>
        <v>Vicini</v>
      </c>
      <c r="C579" s="10" t="str">
        <f>"Warrant Consulting Srl"</f>
        <v>Warrant Consulting Srl</v>
      </c>
      <c r="D579" s="10" t="str">
        <f>"Italy"</f>
        <v>Italy</v>
      </c>
    </row>
    <row r="580" spans="1:4" ht="25.5">
      <c r="A580" s="10" t="str">
        <f>"Antoine"</f>
        <v>Antoine</v>
      </c>
      <c r="B580" s="10" t="str">
        <f>"Videau"</f>
        <v>Videau</v>
      </c>
      <c r="C580" s="10" t="str">
        <f>"Bureau Aquitaine Europe"</f>
        <v>Bureau Aquitaine Europe</v>
      </c>
      <c r="D580" s="10" t="str">
        <f>"France"</f>
        <v>France</v>
      </c>
    </row>
    <row r="581" spans="1:4" ht="12.75">
      <c r="A581" s="10" t="str">
        <f>"Davide"</f>
        <v>Davide</v>
      </c>
      <c r="B581" s="10" t="str">
        <f>"Vietri"</f>
        <v>Vietri</v>
      </c>
      <c r="C581" s="10" t="str">
        <f>"Moverim Consulting"</f>
        <v>Moverim Consulting</v>
      </c>
      <c r="D581" s="10" t="str">
        <f>"Belgium"</f>
        <v>Belgium</v>
      </c>
    </row>
    <row r="582" spans="1:4" ht="12.75">
      <c r="A582" s="9" t="s">
        <v>274</v>
      </c>
      <c r="B582" s="9" t="s">
        <v>275</v>
      </c>
      <c r="C582" s="13" t="s">
        <v>276</v>
      </c>
      <c r="D582" s="9"/>
    </row>
    <row r="583" spans="1:4" ht="12.75">
      <c r="A583" s="10" t="str">
        <f>"dino"</f>
        <v>dino</v>
      </c>
      <c r="B583" s="10" t="str">
        <f>"vinciguerra"</f>
        <v>vinciguerra</v>
      </c>
      <c r="C583" s="10" t="str">
        <f>"Dedalus spa"</f>
        <v>Dedalus spa</v>
      </c>
      <c r="D583" s="10" t="str">
        <f>"Italy"</f>
        <v>Italy</v>
      </c>
    </row>
    <row r="584" spans="1:4" ht="12.75">
      <c r="A584" s="9" t="s">
        <v>277</v>
      </c>
      <c r="B584" s="9" t="s">
        <v>278</v>
      </c>
      <c r="C584" s="13" t="s">
        <v>156</v>
      </c>
      <c r="D584" s="9"/>
    </row>
    <row r="585" spans="1:4" ht="25.5">
      <c r="A585" s="9" t="s">
        <v>279</v>
      </c>
      <c r="B585" s="9" t="s">
        <v>280</v>
      </c>
      <c r="C585" s="13" t="s">
        <v>281</v>
      </c>
      <c r="D585" s="9"/>
    </row>
    <row r="586" spans="1:4" ht="38.25">
      <c r="A586" s="10" t="str">
        <f>"Stefanos"</f>
        <v>Stefanos</v>
      </c>
      <c r="B586" s="10" t="str">
        <f>"Vrochidis"</f>
        <v>Vrochidis</v>
      </c>
      <c r="C586" s="10" t="str">
        <f>"Centre for Research and Technology Hellas"</f>
        <v>Centre for Research and Technology Hellas</v>
      </c>
      <c r="D586" s="10" t="str">
        <f>"Greece"</f>
        <v>Greece</v>
      </c>
    </row>
    <row r="587" spans="1:4" ht="25.5">
      <c r="A587" s="10" t="str">
        <f>"Ewa"</f>
        <v>Ewa</v>
      </c>
      <c r="B587" s="10" t="str">
        <f>"Wadolkowska"</f>
        <v>Wadolkowska</v>
      </c>
      <c r="C587" s="10" t="str">
        <f>"eu-ra (european research associates)"</f>
        <v>eu-ra (european research associates)</v>
      </c>
      <c r="D587" s="10">
        <f>""</f>
      </c>
    </row>
    <row r="588" spans="1:4" ht="38.25">
      <c r="A588" s="10" t="str">
        <f>"Ray"</f>
        <v>Ray</v>
      </c>
      <c r="B588" s="10" t="str">
        <f>"Walshe"</f>
        <v>Walshe</v>
      </c>
      <c r="C588" s="10" t="str">
        <f>"CloudCORE Research Centre, Dublin City University"</f>
        <v>CloudCORE Research Centre, Dublin City University</v>
      </c>
      <c r="D588" s="10" t="str">
        <f>"Ireland"</f>
        <v>Ireland</v>
      </c>
    </row>
    <row r="589" spans="1:4" ht="25.5">
      <c r="A589" s="10" t="str">
        <f>"Isabelle"</f>
        <v>Isabelle</v>
      </c>
      <c r="B589" s="10" t="str">
        <f>"Wartelle"</f>
        <v>Wartelle</v>
      </c>
      <c r="C589" s="10" t="str">
        <f>"Academic Medical Center Amsterdam"</f>
        <v>Academic Medical Center Amsterdam</v>
      </c>
      <c r="D589" s="10" t="str">
        <f>"Netherlands"</f>
        <v>Netherlands</v>
      </c>
    </row>
    <row r="590" spans="1:4" ht="25.5">
      <c r="A590" s="10" t="str">
        <f>"Romain"</f>
        <v>Romain</v>
      </c>
      <c r="B590" s="10" t="str">
        <f>"Wascat"</f>
        <v>Wascat</v>
      </c>
      <c r="C590" s="10" t="str">
        <f>"Lorraine Champagne-Ardenne EU Office"</f>
        <v>Lorraine Champagne-Ardenne EU Office</v>
      </c>
      <c r="D590" s="10" t="str">
        <f>"Belgium"</f>
        <v>Belgium</v>
      </c>
    </row>
    <row r="591" spans="1:4" ht="25.5">
      <c r="A591" s="10" t="str">
        <f>"Donald"</f>
        <v>Donald</v>
      </c>
      <c r="B591" s="10" t="str">
        <f>"Weber"</f>
        <v>Weber</v>
      </c>
      <c r="C591" s="10" t="str">
        <f>"Amsab-Institute of Social History"</f>
        <v>Amsab-Institute of Social History</v>
      </c>
      <c r="D591" s="10" t="str">
        <f>"Belgium"</f>
        <v>Belgium</v>
      </c>
    </row>
    <row r="592" spans="1:4" ht="25.5">
      <c r="A592" s="9" t="s">
        <v>282</v>
      </c>
      <c r="B592" s="9" t="s">
        <v>283</v>
      </c>
      <c r="C592" s="13" t="s">
        <v>284</v>
      </c>
      <c r="D592" s="9"/>
    </row>
    <row r="593" spans="1:4" ht="25.5">
      <c r="A593" s="10" t="str">
        <f>"Lynsey"</f>
        <v>Lynsey</v>
      </c>
      <c r="B593" s="10" t="str">
        <f>"Whitfield"</f>
        <v>Whitfield</v>
      </c>
      <c r="C593" s="10" t="str">
        <f>"University of Wolverhampton"</f>
        <v>University of Wolverhampton</v>
      </c>
      <c r="D593" s="10" t="str">
        <f>"United Kingdom"</f>
        <v>United Kingdom</v>
      </c>
    </row>
    <row r="594" spans="1:4" ht="25.5">
      <c r="A594" s="9" t="s">
        <v>285</v>
      </c>
      <c r="B594" s="9" t="s">
        <v>286</v>
      </c>
      <c r="C594" s="13" t="s">
        <v>287</v>
      </c>
      <c r="D594" s="9"/>
    </row>
    <row r="595" spans="1:4" ht="12.75">
      <c r="A595" s="10" t="str">
        <f>"Barbara"</f>
        <v>Barbara</v>
      </c>
      <c r="B595" s="10" t="str">
        <f>"Wynne"</f>
        <v>Wynne</v>
      </c>
      <c r="C595" s="10" t="str">
        <f>"Accenture"</f>
        <v>Accenture</v>
      </c>
      <c r="D595" s="10" t="str">
        <f>"Belgium"</f>
        <v>Belgium</v>
      </c>
    </row>
    <row r="596" spans="1:4" ht="12.75">
      <c r="A596" s="10" t="str">
        <f>"Michail"</f>
        <v>Michail</v>
      </c>
      <c r="B596" s="10" t="str">
        <f>"Zarogiannis"</f>
        <v>Zarogiannis</v>
      </c>
      <c r="C596" s="10" t="str">
        <f>"Cognitive Space"</f>
        <v>Cognitive Space</v>
      </c>
      <c r="D596" s="10" t="str">
        <f>"Greece"</f>
        <v>Greece</v>
      </c>
    </row>
    <row r="597" spans="1:4" ht="25.5">
      <c r="A597" s="10" t="str">
        <f>"Silvana"</f>
        <v>Silvana</v>
      </c>
      <c r="B597" s="10" t="str">
        <f>"Zegianini Gomez"</f>
        <v>Zegianini Gomez</v>
      </c>
      <c r="C597" s="10" t="str">
        <f>"Abada Servicios Desarrollo"</f>
        <v>Abada Servicios Desarrollo</v>
      </c>
      <c r="D597" s="10" t="str">
        <f>"Spain"</f>
        <v>Spain</v>
      </c>
    </row>
    <row r="598" spans="1:4" ht="12.75">
      <c r="A598" s="10" t="str">
        <f>"Annamaria"</f>
        <v>Annamaria</v>
      </c>
      <c r="B598" s="10" t="str">
        <f>"Zonno"</f>
        <v>Zonno</v>
      </c>
      <c r="C598" s="10" t="str">
        <f>"Regione Puglia"</f>
        <v>Regione Puglia</v>
      </c>
      <c r="D598" s="10" t="str">
        <f>"Italy"</f>
        <v>Italy</v>
      </c>
    </row>
    <row r="599" spans="1:4" ht="38.25">
      <c r="A599" s="9" t="s">
        <v>288</v>
      </c>
      <c r="B599" s="9" t="s">
        <v>289</v>
      </c>
      <c r="C599" s="13" t="s">
        <v>290</v>
      </c>
      <c r="D599" s="9" t="s">
        <v>291</v>
      </c>
    </row>
    <row r="600" spans="1:4" ht="51">
      <c r="A600" s="11" t="str">
        <f>"Anneke"</f>
        <v>Anneke</v>
      </c>
      <c r="B600" s="11" t="str">
        <f>"Zuiderwijk"</f>
        <v>Zuiderwijk</v>
      </c>
      <c r="C600" s="11" t="str">
        <f>"Delft University of Technology &amp; Dutch Ministery of Security and Justice"</f>
        <v>Delft University of Technology &amp; Dutch Ministery of Security and Justice</v>
      </c>
      <c r="D600" s="11" t="str">
        <f>"Netherlands"</f>
        <v>Netherlands</v>
      </c>
    </row>
    <row r="601" spans="1:4" ht="76.5">
      <c r="A601" s="11" t="str">
        <f>"Elita"</f>
        <v>Elita</v>
      </c>
      <c r="B601" s="11" t="str">
        <f>"Zvaigzne"</f>
        <v>Zvaigzne</v>
      </c>
      <c r="C601" s="11" t="str">
        <f>"Ministry of Environment Protection and Regional Development of Latvia"</f>
        <v>Ministry of Environment Protection and Regional Development of Latvia</v>
      </c>
      <c r="D601" s="11" t="str">
        <f>"Latvia"</f>
        <v>Latvia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dimitia</dc:creator>
  <cp:keywords/>
  <dc:description/>
  <cp:lastModifiedBy>dimitia</cp:lastModifiedBy>
  <dcterms:created xsi:type="dcterms:W3CDTF">2012-02-09T10:45:51Z</dcterms:created>
  <dcterms:modified xsi:type="dcterms:W3CDTF">2012-02-09T10:48:28Z</dcterms:modified>
  <cp:category/>
  <cp:version/>
  <cp:contentType/>
  <cp:contentStatus/>
</cp:coreProperties>
</file>