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26" yWindow="65426" windowWidth="19420" windowHeight="10420" tabRatio="940" activeTab="0"/>
  </bookViews>
  <sheets>
    <sheet name="Table 1" sheetId="10" r:id="rId1"/>
    <sheet name="Table 2" sheetId="11" r:id="rId2"/>
    <sheet name="Table 3" sheetId="1" r:id="rId3"/>
    <sheet name="Figure 1" sheetId="16" r:id="rId4"/>
    <sheet name="Table 4" sheetId="12" r:id="rId5"/>
    <sheet name="Figure 2" sheetId="26" r:id="rId6"/>
    <sheet name="Table 5" sheetId="13" r:id="rId7"/>
    <sheet name="Table 6" sheetId="14" r:id="rId8"/>
    <sheet name="Figure 3" sheetId="27" r:id="rId9"/>
    <sheet name="Table 7" sheetId="19" r:id="rId10"/>
    <sheet name="Figure 4" sheetId="20" r:id="rId11"/>
    <sheet name="Table 8" sheetId="15" r:id="rId12"/>
    <sheet name="Figure 5" sheetId="5" r:id="rId13"/>
    <sheet name="Figure 6" sheetId="6" r:id="rId14"/>
    <sheet name="Figure 7" sheetId="7" r:id="rId15"/>
    <sheet name="Figure 8" sheetId="23" r:id="rId16"/>
    <sheet name="Figure 9" sheetId="24" r:id="rId17"/>
  </sheets>
  <externalReferences>
    <externalReference r:id="rId20"/>
  </externalReferences>
  <definedNames>
    <definedName name="__xlnm.Database">"#REF!"</definedName>
    <definedName name="_xlnm._FilterDatabase" localSheetId="12" hidden="1">'Figure 5'!$B$45:$E$45</definedName>
    <definedName name="_xlnm._FilterDatabase" localSheetId="13" hidden="1">'Figure 6'!$B$62:$F$62</definedName>
    <definedName name="_xlnm._FilterDatabase" localSheetId="14" hidden="1">'Figure 7'!$B$70:$F$80</definedName>
    <definedName name="_xlnm._FilterDatabase" localSheetId="6" hidden="1">'Table 5'!$B$67:$C$95</definedName>
    <definedName name="Accounts" localSheetId="3">#REF!</definedName>
    <definedName name="Accounts" localSheetId="5">#REF!</definedName>
    <definedName name="Accounts" localSheetId="10">#REF!</definedName>
    <definedName name="Accounts" localSheetId="9">#REF!</definedName>
    <definedName name="Accounts">#REF!</definedName>
    <definedName name="Colheads" localSheetId="3">#REF!</definedName>
    <definedName name="Colheads" localSheetId="5">#REF!</definedName>
    <definedName name="Colheads" localSheetId="10">#REF!</definedName>
    <definedName name="Colheads" localSheetId="9">#REF!</definedName>
    <definedName name="Colheads">#REF!</definedName>
    <definedName name="datab" localSheetId="3">#REF!</definedName>
    <definedName name="datab" localSheetId="5">#REF!</definedName>
    <definedName name="datab" localSheetId="10">#REF!</definedName>
    <definedName name="datab" localSheetId="9">#REF!</definedName>
    <definedName name="datab">#REF!</definedName>
    <definedName name="Datamat" localSheetId="5">#REF!</definedName>
    <definedName name="Datamat" localSheetId="10">#REF!</definedName>
    <definedName name="Datamat" localSheetId="9">#REF!</definedName>
    <definedName name="Datamat">#REF!</definedName>
    <definedName name="Leontief138" localSheetId="5">#REF!</definedName>
    <definedName name="Leontief138" localSheetId="10">#REF!</definedName>
    <definedName name="Leontief138" localSheetId="9">#REF!</definedName>
    <definedName name="Leontief138">#REF!</definedName>
    <definedName name="Matrix138" localSheetId="5">#REF!</definedName>
    <definedName name="Matrix138" localSheetId="10">#REF!</definedName>
    <definedName name="Matrix138" localSheetId="9">#REF!</definedName>
    <definedName name="Matrix138">#REF!</definedName>
    <definedName name="_xlnm.Print_Area" localSheetId="3">'Figure 1'!$B$5:$C$65</definedName>
    <definedName name="Rowtitles" localSheetId="3">#REF!</definedName>
    <definedName name="Rowtitles" localSheetId="5">#REF!</definedName>
    <definedName name="Rowtitles" localSheetId="10">#REF!</definedName>
    <definedName name="Rowtitles" localSheetId="9">#REF!</definedName>
    <definedName name="Rowtitles">#REF!</definedName>
    <definedName name="skrange">'[1]0800Trimmed'!$F$35:$AU$154</definedName>
    <definedName name="ssss" localSheetId="3">#REF!</definedName>
    <definedName name="ssss" localSheetId="5">#REF!</definedName>
    <definedName name="ssss" localSheetId="10">#REF!</definedName>
    <definedName name="ssss" localSheetId="9">#REF!</definedName>
    <definedName name="ssss">#REF!</definedName>
  </definedNames>
  <calcPr calcId="191029"/>
  <extLst/>
</workbook>
</file>

<file path=xl/sharedStrings.xml><?xml version="1.0" encoding="utf-8"?>
<sst xmlns="http://schemas.openxmlformats.org/spreadsheetml/2006/main" count="1926" uniqueCount="266">
  <si>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</si>
  <si>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</si>
  <si>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</si>
  <si>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</si>
  <si>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</si>
  <si>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</si>
  <si>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</si>
  <si>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</si>
  <si>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</si>
  <si>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</si>
  <si>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</si>
  <si>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</si>
  <si>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</si>
  <si>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:</t>
  </si>
  <si>
    <t>Other</t>
  </si>
  <si>
    <t>Country</t>
  </si>
  <si>
    <t>Tug and pusher</t>
  </si>
  <si>
    <t>Dumb and pushed vessel</t>
  </si>
  <si>
    <t>Number</t>
  </si>
  <si>
    <t>Total</t>
  </si>
  <si>
    <t>3 000 t or over</t>
  </si>
  <si>
    <t>Other countries</t>
  </si>
  <si>
    <t>(lorries and road tractors first registration/total lorries and road tractors, %)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</si>
  <si>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</si>
  <si>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</si>
  <si>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</si>
  <si>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</si>
  <si>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</si>
  <si>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</si>
  <si>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</si>
  <si>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</si>
  <si>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</si>
  <si>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</si>
  <si>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</si>
  <si>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</si>
  <si>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</si>
  <si>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</si>
  <si>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</si>
  <si>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</si>
  <si>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</si>
  <si>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Cyprus</t>
  </si>
  <si>
    <t>Malta</t>
  </si>
  <si>
    <t>Liechtenstein</t>
  </si>
  <si>
    <t>Passenger</t>
  </si>
  <si>
    <t>Cargo</t>
  </si>
  <si>
    <t>Quick change</t>
  </si>
  <si>
    <t>Special value:</t>
  </si>
  <si>
    <t>not available</t>
  </si>
  <si>
    <t>999 t or less</t>
  </si>
  <si>
    <t>From 1 000 to 2 999 t</t>
  </si>
  <si>
    <t>Note: (:) not available.</t>
  </si>
  <si>
    <t>GEO/TIME</t>
  </si>
  <si>
    <t xml:space="preserve">Bulgaria </t>
  </si>
  <si>
    <t xml:space="preserve">Switzerland </t>
  </si>
  <si>
    <t>total</t>
  </si>
  <si>
    <t xml:space="preserve">Austria </t>
  </si>
  <si>
    <t>Czechia</t>
  </si>
  <si>
    <t xml:space="preserve">Germany </t>
  </si>
  <si>
    <t>North Macedonia</t>
  </si>
  <si>
    <t>-</t>
  </si>
  <si>
    <t>Note: (:) not available; (-) not applicable.</t>
  </si>
  <si>
    <t xml:space="preserve">Belgium </t>
  </si>
  <si>
    <t>;</t>
  </si>
  <si>
    <t>Alternative Energy</t>
  </si>
  <si>
    <t>Serbia</t>
  </si>
  <si>
    <t>Kosovo</t>
  </si>
  <si>
    <t>(thousand seats)</t>
  </si>
  <si>
    <t>Greece (¹)</t>
  </si>
  <si>
    <t>(number of lorries and road tractors / thousand inhabitants)</t>
  </si>
  <si>
    <t>(thousand tonnes)</t>
  </si>
  <si>
    <t>% change
since 2005</t>
  </si>
  <si>
    <t>Kosovo (*)</t>
  </si>
  <si>
    <t>the ICJ Opinion on the Kosovo Declaration of Independence.</t>
  </si>
  <si>
    <t xml:space="preserve">(*) This designation is without prejudice to positions on status, and is in line with UNSCR 1244/99 and </t>
  </si>
  <si>
    <t>(number of passenger cars / thousand inhabitants)</t>
  </si>
  <si>
    <t>(number)</t>
  </si>
  <si>
    <t>Montenegro (¹)</t>
  </si>
  <si>
    <t>Albania</t>
  </si>
  <si>
    <t>Bosnia and Herzegovina</t>
  </si>
  <si>
    <t>Montenegro</t>
  </si>
  <si>
    <t>Iceland</t>
  </si>
  <si>
    <t xml:space="preserve">(*) This designation is without prejudice to positions on status, and is in line </t>
  </si>
  <si>
    <t>with UNSCR 1244/99 and the ICJ Opinion on the Kosovo Declaration of Independence.</t>
  </si>
  <si>
    <t>Bulgaria (¹)</t>
  </si>
  <si>
    <t>Cyprus (¹)</t>
  </si>
  <si>
    <t>Slovakia (¹)</t>
  </si>
  <si>
    <t>(first-registered passenger cars / total passenger cars, %)</t>
  </si>
  <si>
    <t>(number of road tractors / thousand inhabitants)</t>
  </si>
  <si>
    <t>Croatia (²)</t>
  </si>
  <si>
    <t>EU</t>
  </si>
  <si>
    <t>Source: Eurostat (online data code: rail_eq_locon)</t>
  </si>
  <si>
    <t>Switzerland (¹)</t>
  </si>
  <si>
    <t>Türkiye</t>
  </si>
  <si>
    <t>Türkiye (¹)</t>
  </si>
  <si>
    <t>Latvia  (¹)</t>
  </si>
  <si>
    <t>Malta (4)</t>
  </si>
  <si>
    <t>Slovenia (²)</t>
  </si>
  <si>
    <t xml:space="preserve">Note: Ranking is based on petroleum products. </t>
  </si>
  <si>
    <t xml:space="preserve">(*) This designation is without prejudice to positions on status, and is in line with </t>
  </si>
  <si>
    <t>(¹) Road tractors only.</t>
  </si>
  <si>
    <t>(³) Lorries only.</t>
  </si>
  <si>
    <t>Iceland (³)</t>
  </si>
  <si>
    <t xml:space="preserve">Note: (:) not available. </t>
  </si>
  <si>
    <t xml:space="preserve">Note: Ranking is based on 2021. </t>
  </si>
  <si>
    <t xml:space="preserve">Note: Data not available for Greece, Albania and Serbia. </t>
  </si>
  <si>
    <t>and the ICJ Opinion on the Kosovo Declaration of Independence.</t>
  </si>
  <si>
    <t xml:space="preserve">(*) This designation is without prejudice to positions on status, and is in line with UNSCR 1244/99 </t>
  </si>
  <si>
    <t>(*) This designation is without prejudice to positions on status, and is in line with UNSCR 1244/99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</si>
  <si>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</si>
  <si>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</si>
  <si>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</si>
  <si>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</si>
  <si>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</si>
  <si>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</si>
  <si>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</si>
  <si>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</si>
  <si>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</si>
  <si>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</si>
  <si>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</si>
  <si>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</si>
  <si>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</si>
  <si>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</si>
  <si>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</si>
  <si>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</si>
  <si>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</si>
  <si>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</si>
  <si>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</si>
  <si>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</si>
  <si>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</si>
  <si>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</si>
  <si>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</si>
  <si>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</si>
  <si>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</si>
  <si>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</si>
  <si>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</si>
  <si>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Note: Data not available for Czechia, Germany, Hungary and Switzerland.</t>
  </si>
  <si>
    <t>Kosovo (*) (²)</t>
  </si>
  <si>
    <t>Slovenia (¹)</t>
  </si>
  <si>
    <t>North Macedonia (¹)</t>
  </si>
  <si>
    <t>Romania (¹)</t>
  </si>
  <si>
    <t>(¹) 2013-2021: data only for road tractors.</t>
  </si>
  <si>
    <t>Note: Data not available for Belgium, Bulgaria, Germany, Italy, Latvia, Netherlands, Finland and Norway.</t>
  </si>
  <si>
    <t xml:space="preserve"> </t>
  </si>
  <si>
    <r>
      <t>Source:</t>
    </r>
    <r>
      <rPr>
        <sz val="10"/>
        <color theme="1"/>
        <rFont val="Arial"/>
        <family val="2"/>
      </rPr>
      <t xml:space="preserve"> Eurostat (online data code: rail_eq_locon)</t>
    </r>
  </si>
  <si>
    <r>
      <t>Source:</t>
    </r>
    <r>
      <rPr>
        <sz val="10"/>
        <color theme="1"/>
        <rFont val="Arial"/>
        <family val="2"/>
      </rPr>
      <t xml:space="preserve"> Eurostat (online data code: rail_eq_pa_csb)</t>
    </r>
  </si>
  <si>
    <r>
      <t>Source:</t>
    </r>
    <r>
      <rPr>
        <sz val="10"/>
        <color theme="1"/>
        <rFont val="Arial"/>
        <family val="2"/>
      </rPr>
      <t xml:space="preserve"> Eurostat (online data code:  road_eqs_carhab)</t>
    </r>
  </si>
  <si>
    <r>
      <t>Source:</t>
    </r>
    <r>
      <rPr>
        <sz val="10"/>
        <color theme="1"/>
        <rFont val="Arial"/>
        <family val="2"/>
      </rPr>
      <t xml:space="preserve"> Eurostat (online data codes: road_eqr_carmot and road_eqs_carmot)</t>
    </r>
  </si>
  <si>
    <r>
      <t>Source:</t>
    </r>
    <r>
      <rPr>
        <sz val="10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</si>
  <si>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10"/>
        <color theme="1"/>
        <rFont val="Arial"/>
        <family val="2"/>
      </rPr>
      <t xml:space="preserve"> Eurostat (online data codes: road_eqr_tracmot, road_eqr_lormot, road_eqs_lorroa, road_eqr_tracm, road_eqr_lorrin_h and road_eqs_lorroa_h)</t>
    </r>
  </si>
  <si>
    <r>
      <t>Source:</t>
    </r>
    <r>
      <rPr>
        <sz val="10"/>
        <color theme="1"/>
        <rFont val="Arial"/>
        <family val="2"/>
      </rPr>
      <t xml:space="preserve"> Eurostat (online data code:  iww_eq_age and iww_eq_loadcap)</t>
    </r>
  </si>
  <si>
    <r>
      <t>Source:</t>
    </r>
    <r>
      <rPr>
        <sz val="10"/>
        <color theme="1"/>
        <rFont val="Arial"/>
        <family val="2"/>
      </rPr>
      <t xml:space="preserve"> Eurostat (online data code: iww_eq_loadcap)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</si>
  <si>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code: avia_eq_arc_typ)</t>
    </r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</si>
  <si>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Eurostat (online data code: avia_eq_arc_typ)</t>
    </r>
  </si>
  <si>
    <t>Moldova</t>
  </si>
  <si>
    <t>Georgia</t>
  </si>
  <si>
    <t>(¹) 2020 data instead of 2022.</t>
  </si>
  <si>
    <t>Table 3: Capacity of passenger railway vehicles, 2012-2022</t>
  </si>
  <si>
    <t>Ukraine</t>
  </si>
  <si>
    <t>Figure 1: Passenger railway vehicles, 2022</t>
  </si>
  <si>
    <t>Ireland (¹)</t>
  </si>
  <si>
    <t>Ukraine (¹)</t>
  </si>
  <si>
    <t>Serbia (²)</t>
  </si>
  <si>
    <t>Kosovo (*)(²)</t>
  </si>
  <si>
    <t>Montenegro (³)</t>
  </si>
  <si>
    <t>(²) 2021 data instead of 2022.</t>
  </si>
  <si>
    <t>(³) 2019 data instead of 2022.</t>
  </si>
  <si>
    <t>Table 4: Motorisation rate of passenger cars, 2012-2022</t>
  </si>
  <si>
    <t>Figure 2: Share of passenger cars, by fuel type, 2022</t>
  </si>
  <si>
    <t>Petroleum products</t>
  </si>
  <si>
    <r>
      <t>Source:</t>
    </r>
    <r>
      <rPr>
        <sz val="10"/>
        <color theme="1"/>
        <rFont val="Arial"/>
        <family val="2"/>
      </rPr>
      <t xml:space="preserve"> Eurostat (online data code: road_eqs_carpda)</t>
    </r>
  </si>
  <si>
    <t>EL</t>
  </si>
  <si>
    <t>Table 5: Renewal rate of passenger cars, 2012-2022</t>
  </si>
  <si>
    <t>(¹) 2012: imported second-hand vehicles were included in first-registered passenger cars.</t>
  </si>
  <si>
    <t>(²) 2012-2020: imported second-hand vehicles were included in first-registered passenger cars.</t>
  </si>
  <si>
    <t>Italy (³)</t>
  </si>
  <si>
    <t>(³) 2022 data: Eurostat estimates.</t>
  </si>
  <si>
    <t>Table 6: Motorisation rate of lorries and road tractors, 2012-2022</t>
  </si>
  <si>
    <t>Figure 3: Renewal rate of lorries and road tractors, 2012 and 2022</t>
  </si>
  <si>
    <t>(²) 2013-2022: road tractors only.</t>
  </si>
  <si>
    <t>Liechtenstein (⁴)</t>
  </si>
  <si>
    <r>
      <t>Bosnia and Herzegovina (</t>
    </r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>)</t>
    </r>
  </si>
  <si>
    <t>Montenegro (⁴)</t>
  </si>
  <si>
    <t>North Macedonia (⁴)</t>
  </si>
  <si>
    <t>Albania (³)(⁴)</t>
  </si>
  <si>
    <r>
      <t>Moldova (</t>
    </r>
    <r>
      <rPr>
        <b/>
        <vertAlign val="superscript"/>
        <sz val="10"/>
        <color theme="1"/>
        <rFont val="Arial"/>
        <family val="2"/>
      </rPr>
      <t>6</t>
    </r>
    <r>
      <rPr>
        <b/>
        <sz val="10"/>
        <color theme="1"/>
        <rFont val="Arial"/>
        <family val="2"/>
      </rPr>
      <t>)</t>
    </r>
  </si>
  <si>
    <t>Türkiye (⁴)</t>
  </si>
  <si>
    <r>
      <t>Georgia (⁴)(</t>
    </r>
    <r>
      <rPr>
        <b/>
        <vertAlign val="superscript"/>
        <sz val="10"/>
        <color theme="1"/>
        <rFont val="Arial"/>
        <family val="2"/>
      </rPr>
      <t>7</t>
    </r>
    <r>
      <rPr>
        <b/>
        <sz val="10"/>
        <color theme="1"/>
        <rFont val="Arial"/>
        <family val="2"/>
      </rPr>
      <t>)</t>
    </r>
  </si>
  <si>
    <r>
      <t>(</t>
    </r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) 2017-2022: lorries &gt; 3.5 tonnes Maximum Permissible Laden Weight only.</t>
    </r>
  </si>
  <si>
    <t>Liechtenstein (¹)</t>
  </si>
  <si>
    <t>Bosnia and Herzegovina (²)</t>
  </si>
  <si>
    <t xml:space="preserve">Moldova (³) </t>
  </si>
  <si>
    <t>Table 7: Motorisation rate of road tractors, 2012-2022</t>
  </si>
  <si>
    <t>Bosnia and Herzegovina (³)</t>
  </si>
  <si>
    <t>Moldova (²)</t>
  </si>
  <si>
    <t>Figure 4: Motorisation rate of road tractors, 2012 and 2022</t>
  </si>
  <si>
    <t>Georgia (4)</t>
  </si>
  <si>
    <r>
      <t>(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 Data only for lorries &gt; 3.5 tonnes Maximum Permissible Laden Weight.</t>
    </r>
  </si>
  <si>
    <t>(³) Data only for lorries.</t>
  </si>
  <si>
    <t>(²) Data only for road tractors.</t>
  </si>
  <si>
    <t>North Macedonia (²)</t>
  </si>
  <si>
    <t xml:space="preserve">Moldova (²) </t>
  </si>
  <si>
    <t>Romania (²)</t>
  </si>
  <si>
    <t xml:space="preserve">Moldova (¹) </t>
  </si>
  <si>
    <t>Table 8: Inland waterway vessels, selected countries, 2022</t>
  </si>
  <si>
    <t>Figure 7: Share of dumb and pushed vessels by load capacity, selected countries, 2022</t>
  </si>
  <si>
    <t>Poland (5)(6)</t>
  </si>
  <si>
    <t>Portugal (7)</t>
  </si>
  <si>
    <r>
      <t>Portugal (</t>
    </r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>)</t>
    </r>
  </si>
  <si>
    <t>Figure 8: EU commercial aircraft fleet by operator country, top 10 countries, 2022</t>
  </si>
  <si>
    <t>2022A00</t>
  </si>
  <si>
    <t>NR</t>
  </si>
  <si>
    <t>TOTAL</t>
  </si>
  <si>
    <t>Figure 9: Commercial aircraft operated by EU Member States, 2022</t>
  </si>
  <si>
    <t>Belgium (¹)</t>
  </si>
  <si>
    <t>Italy (¹)</t>
  </si>
  <si>
    <t>Kosovo (*)(¹)</t>
  </si>
  <si>
    <t>Montenegro (²)</t>
  </si>
  <si>
    <t>(¹) 2021 data instead of 2022.</t>
  </si>
  <si>
    <t>(²) 2019 data instead of 2022.</t>
  </si>
  <si>
    <t>Poland (²)</t>
  </si>
  <si>
    <t>Switzerland (²)</t>
  </si>
  <si>
    <t>Türkiye (²)</t>
  </si>
  <si>
    <t>(²) 2020 data instead of 2022.</t>
  </si>
  <si>
    <t>(⁴) 2012-2014: imported second-hand vehicles were included in first-registered passenger cars.</t>
  </si>
  <si>
    <t>Malta (⁴)</t>
  </si>
  <si>
    <t>Table 1: Share of locomotives by type of source of power, 2005, 2012, 2022</t>
  </si>
  <si>
    <t>Table 2: Share of railcars by type of source of power, 2005, 2012, 2022</t>
  </si>
  <si>
    <r>
      <t>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 2012-2016: imported second-hand vehicles were included in first-registered passenger cars.</t>
    </r>
  </si>
  <si>
    <t>Netherlands (¹)</t>
  </si>
  <si>
    <t>(¹) Change since 2013 instead of 2005.</t>
  </si>
  <si>
    <t>Population (projection for 01/01/2023)</t>
  </si>
  <si>
    <t>number of aircraft per million inhabitants</t>
  </si>
  <si>
    <t>EU27</t>
  </si>
  <si>
    <t>2012, from avia_eq_arc_typ</t>
  </si>
  <si>
    <t>% increase 2022 / 2012</t>
  </si>
  <si>
    <t>by country of aircraft registration (avia_eq_arc_typreg)</t>
  </si>
  <si>
    <t>passenger aircrafts</t>
  </si>
  <si>
    <t>Lithuania (¹)</t>
  </si>
  <si>
    <t>(¹) Break in series between 2013 and 2014, due to the treatment of very old vehicles.</t>
  </si>
  <si>
    <t>(²) Break in series between 2014 and 2015, due to the treatment of very old vehicles.</t>
  </si>
  <si>
    <r>
      <t xml:space="preserve">Note: </t>
    </r>
    <r>
      <rPr>
        <sz val="10"/>
        <rFont val="Arial"/>
        <family val="2"/>
      </rPr>
      <t xml:space="preserve">Bulgaria, Greece, Poland, Slovakia </t>
    </r>
    <r>
      <rPr>
        <sz val="10"/>
        <color theme="1"/>
        <rFont val="Arial"/>
        <family val="2"/>
      </rPr>
      <t>and Serbia: data not available.</t>
    </r>
  </si>
  <si>
    <t>Iceland (¹)</t>
  </si>
  <si>
    <t>Self-propelled vessel</t>
  </si>
  <si>
    <t>Figure 5: Total loading capacity of self-propelled vessels and dumb and pushed vessels, top 5 countries, 2022</t>
  </si>
  <si>
    <t>Figure 6: Share of self-propelled vessels by load capacity, selected countries, 2022</t>
  </si>
  <si>
    <t>of Independence.</t>
  </si>
  <si>
    <t>UNSCR 1244/99 and the ICJ Opinion on the Kosovo Declaration</t>
  </si>
  <si>
    <t>Passenger railway vehicles, 2022</t>
  </si>
  <si>
    <r>
      <t>(⁴) 2022 rate: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2022 population data used.</t>
    </r>
  </si>
  <si>
    <r>
      <t>(</t>
    </r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) 2013-2022 rates:1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2012 population data used.</t>
    </r>
  </si>
  <si>
    <r>
      <t>(</t>
    </r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) 2021 and 2022 rates: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2021 population data used.</t>
    </r>
  </si>
  <si>
    <r>
      <t>(¹) 2022 rate: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2022 population data used.</t>
    </r>
  </si>
  <si>
    <r>
      <t>(²) 2017-2021 rates: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2012 population data used.</t>
    </r>
  </si>
  <si>
    <r>
      <t>(³) 2015 rate: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2015 population data used. 2017-2019 rates: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2017 population data used.</t>
    </r>
  </si>
  <si>
    <r>
      <t xml:space="preserve">    2021 and 2022 rates: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January 2021 population data used.</t>
    </r>
  </si>
  <si>
    <t>(*) This designation is without prejudice to positions on status, and is in line with UNSCR 1244/99 and</t>
  </si>
  <si>
    <r>
      <t>Source:</t>
    </r>
    <r>
      <rPr>
        <sz val="10"/>
        <color theme="1"/>
        <rFont val="Arial"/>
        <family val="2"/>
      </rPr>
      <t xml:space="preserve"> Eurostat (online data code: rail_eq_pa_nty)</t>
    </r>
  </si>
  <si>
    <t>Georgia (³)</t>
  </si>
  <si>
    <r>
      <t>Serbia (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</si>
  <si>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Türkiye (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)</t>
    </r>
  </si>
  <si>
    <r>
      <t>Ukraine (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)</t>
    </r>
  </si>
  <si>
    <r>
      <t>(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2020 data instead of 2022.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</si>
  <si>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2011 data instead of 2012.</t>
    </r>
  </si>
  <si>
    <t xml:space="preserve">Note: Ranking is based on 2022. </t>
  </si>
  <si>
    <r>
      <t>Source:</t>
    </r>
    <r>
      <rPr>
        <sz val="10"/>
        <color theme="1"/>
        <rFont val="Arial"/>
        <family val="2"/>
      </rPr>
      <t xml:space="preserve"> Eurostat (online data code: avia_eq_arc_typ)</t>
    </r>
  </si>
  <si>
    <r>
      <t>Source:</t>
    </r>
    <r>
      <rPr>
        <sz val="10"/>
        <color theme="1"/>
        <rFont val="Arial"/>
        <family val="2"/>
      </rPr>
      <t xml:space="preserve"> Eurostat (online data code: avia_eq_arc_typ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</si>
</sst>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i"/>
    <numFmt numFmtId="165" formatCode="0.0"/>
    <numFmt numFmtId="166" formatCode="#,##0_i"/>
    <numFmt numFmtId="167" formatCode="#,##0.0"/>
    <numFmt numFmtId="168" formatCode="#.##0.0_i"/>
    <numFmt numFmtId="169" formatCode="###0"/>
    <numFmt numFmtId="170" formatCode="#,##0.00000000000000"/>
    <numFmt numFmtId="171" formatCode="0.0%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 tint="0.35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/>
      <top/>
      <bottom style="hair">
        <color indexed="22"/>
      </bottom>
    </border>
    <border>
      <left style="hair">
        <color rgb="FFA6A6A6"/>
      </left>
      <right style="hair">
        <color rgb="FFA6A6A6"/>
      </right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indexed="22"/>
      </bottom>
    </border>
    <border>
      <left style="hair">
        <color theme="0" tint="-0.3499799966812134"/>
      </left>
      <right/>
      <top style="thin">
        <color rgb="FF000000"/>
      </top>
      <bottom/>
    </border>
    <border>
      <left style="hair">
        <color theme="0" tint="-0.3499799966812134"/>
      </left>
      <right/>
      <top style="thin">
        <color rgb="FF000000"/>
      </top>
      <bottom style="thin">
        <color rgb="FF000000"/>
      </bottom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/>
    </border>
    <border>
      <left style="hair">
        <color theme="0" tint="-0.3499799966812134"/>
      </left>
      <right/>
      <top style="hair">
        <color rgb="FFC0C0C0"/>
      </top>
      <bottom style="thin">
        <color rgb="FF000000"/>
      </bottom>
    </border>
    <border>
      <left style="hair">
        <color theme="0" tint="-0.3499799966812134"/>
      </left>
      <right/>
      <top/>
      <bottom/>
    </border>
    <border>
      <left style="hair"/>
      <right style="hair"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theme="0" tint="-0.3499799966812134"/>
      </left>
      <right/>
      <top/>
      <bottom style="hair">
        <color rgb="FFC0C0C0"/>
      </bottom>
    </border>
    <border>
      <left/>
      <right/>
      <top/>
      <bottom style="thin">
        <color rgb="FFFF0000"/>
      </bottom>
    </border>
    <border>
      <left/>
      <right/>
      <top style="thin">
        <color rgb="FFFF0000"/>
      </top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 applyFill="0" applyBorder="0" applyProtection="0">
      <alignment horizontal="right"/>
    </xf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7">
    <xf numFmtId="0" fontId="0" fillId="0" borderId="0" xfId="0"/>
    <xf numFmtId="0" fontId="20" fillId="0" borderId="0" xfId="0" applyFont="1" applyAlignment="1">
      <alignment horizontal="left"/>
    </xf>
    <xf numFmtId="0" fontId="1" fillId="33" borderId="10" xfId="0" applyFont="1" applyFill="1" applyBorder="1"/>
    <xf numFmtId="0" fontId="20" fillId="0" borderId="0" xfId="0" applyFont="1"/>
    <xf numFmtId="0" fontId="21" fillId="0" borderId="0" xfId="0" applyFont="1" applyAlignment="1">
      <alignment horizontal="left"/>
    </xf>
    <xf numFmtId="0" fontId="21" fillId="9" borderId="0" xfId="0" applyFont="1" applyFill="1" applyAlignment="1">
      <alignment horizontal="center"/>
    </xf>
    <xf numFmtId="0" fontId="21" fillId="9" borderId="11" xfId="0" applyFont="1" applyFill="1" applyBorder="1" applyAlignment="1">
      <alignment horizontal="center"/>
    </xf>
    <xf numFmtId="0" fontId="21" fillId="9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left"/>
    </xf>
    <xf numFmtId="164" fontId="1" fillId="0" borderId="14" xfId="20" applyFont="1" applyFill="1" applyBorder="1" applyAlignment="1">
      <alignment horizontal="right"/>
    </xf>
    <xf numFmtId="164" fontId="1" fillId="0" borderId="13" xfId="20" applyFont="1" applyFill="1" applyBorder="1" applyAlignment="1">
      <alignment horizontal="right"/>
    </xf>
    <xf numFmtId="0" fontId="21" fillId="0" borderId="15" xfId="0" applyFont="1" applyBorder="1" applyAlignment="1">
      <alignment horizontal="left"/>
    </xf>
    <xf numFmtId="164" fontId="1" fillId="0" borderId="16" xfId="20" applyFont="1" applyFill="1" applyBorder="1" applyAlignment="1">
      <alignment horizontal="right"/>
    </xf>
    <xf numFmtId="164" fontId="1" fillId="0" borderId="15" xfId="20" applyFont="1" applyFill="1" applyBorder="1" applyAlignment="1">
      <alignment horizontal="right"/>
    </xf>
    <xf numFmtId="0" fontId="21" fillId="0" borderId="12" xfId="0" applyFont="1" applyBorder="1" applyAlignment="1">
      <alignment horizontal="left"/>
    </xf>
    <xf numFmtId="164" fontId="1" fillId="0" borderId="11" xfId="20" applyFont="1" applyFill="1" applyBorder="1" applyAlignment="1">
      <alignment horizontal="right"/>
    </xf>
    <xf numFmtId="164" fontId="1" fillId="0" borderId="12" xfId="20" applyFont="1" applyFill="1" applyBorder="1" applyAlignment="1">
      <alignment horizontal="right"/>
    </xf>
    <xf numFmtId="0" fontId="21" fillId="0" borderId="17" xfId="0" applyFont="1" applyBorder="1" applyAlignment="1">
      <alignment horizontal="left"/>
    </xf>
    <xf numFmtId="164" fontId="1" fillId="0" borderId="18" xfId="20" applyFont="1" applyFill="1" applyBorder="1" applyAlignment="1">
      <alignment horizontal="right"/>
    </xf>
    <xf numFmtId="164" fontId="1" fillId="0" borderId="17" xfId="20" applyFont="1" applyFill="1" applyBorder="1" applyAlignment="1">
      <alignment horizontal="right"/>
    </xf>
    <xf numFmtId="164" fontId="1" fillId="0" borderId="19" xfId="20" applyFont="1" applyFill="1" applyBorder="1" applyAlignment="1">
      <alignment horizontal="right"/>
    </xf>
    <xf numFmtId="164" fontId="1" fillId="0" borderId="0" xfId="20" applyFont="1" applyFill="1" applyBorder="1" applyAlignment="1">
      <alignment horizontal="right"/>
    </xf>
    <xf numFmtId="165" fontId="20" fillId="0" borderId="0" xfId="0" applyNumberFormat="1" applyFont="1"/>
    <xf numFmtId="0" fontId="22" fillId="0" borderId="0" xfId="0" applyFont="1" applyAlignment="1">
      <alignment horizontal="center"/>
    </xf>
    <xf numFmtId="0" fontId="21" fillId="9" borderId="20" xfId="0" applyFont="1" applyFill="1" applyBorder="1" applyAlignment="1">
      <alignment horizontal="left"/>
    </xf>
    <xf numFmtId="0" fontId="21" fillId="9" borderId="0" xfId="0" applyFont="1" applyFill="1" applyAlignment="1">
      <alignment horizontal="left"/>
    </xf>
    <xf numFmtId="164" fontId="1" fillId="0" borderId="0" xfId="20" applyFont="1" applyBorder="1" applyAlignment="1">
      <alignment horizontal="right"/>
    </xf>
    <xf numFmtId="170" fontId="20" fillId="0" borderId="0" xfId="0" applyNumberFormat="1" applyFont="1"/>
    <xf numFmtId="0" fontId="21" fillId="0" borderId="21" xfId="0" applyFont="1" applyBorder="1" applyAlignment="1">
      <alignment horizontal="left"/>
    </xf>
    <xf numFmtId="164" fontId="1" fillId="0" borderId="22" xfId="20" applyFont="1" applyFill="1" applyBorder="1" applyAlignment="1">
      <alignment horizontal="right"/>
    </xf>
    <xf numFmtId="164" fontId="1" fillId="0" borderId="21" xfId="20" applyFont="1" applyFill="1" applyBorder="1" applyAlignment="1">
      <alignment horizontal="right"/>
    </xf>
    <xf numFmtId="164" fontId="1" fillId="0" borderId="23" xfId="20" applyFont="1" applyFill="1" applyBorder="1" applyAlignment="1">
      <alignment horizontal="right"/>
    </xf>
    <xf numFmtId="0" fontId="25" fillId="0" borderId="0" xfId="0" applyFont="1"/>
    <xf numFmtId="0" fontId="21" fillId="9" borderId="24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166" fontId="1" fillId="0" borderId="19" xfId="20" applyNumberFormat="1" applyFont="1" applyFill="1" applyBorder="1" applyAlignment="1">
      <alignment horizontal="right"/>
    </xf>
    <xf numFmtId="166" fontId="1" fillId="0" borderId="21" xfId="20" applyNumberFormat="1" applyFont="1" applyFill="1" applyBorder="1" applyAlignment="1">
      <alignment horizontal="right"/>
    </xf>
    <xf numFmtId="166" fontId="1" fillId="0" borderId="11" xfId="20" applyNumberFormat="1" applyFont="1" applyFill="1" applyBorder="1" applyAlignment="1">
      <alignment horizontal="right"/>
    </xf>
    <xf numFmtId="166" fontId="1" fillId="0" borderId="15" xfId="20" applyNumberFormat="1" applyFont="1" applyFill="1" applyBorder="1" applyAlignment="1">
      <alignment horizontal="right"/>
    </xf>
    <xf numFmtId="167" fontId="20" fillId="0" borderId="0" xfId="0" applyNumberFormat="1" applyFont="1"/>
    <xf numFmtId="166" fontId="1" fillId="0" borderId="12" xfId="20" applyNumberFormat="1" applyFont="1" applyFill="1" applyBorder="1" applyAlignment="1">
      <alignment horizontal="right"/>
    </xf>
    <xf numFmtId="166" fontId="1" fillId="0" borderId="18" xfId="20" applyNumberFormat="1" applyFont="1" applyFill="1" applyBorder="1" applyAlignment="1">
      <alignment horizontal="right"/>
    </xf>
    <xf numFmtId="166" fontId="1" fillId="0" borderId="17" xfId="20" applyNumberFormat="1" applyFont="1" applyFill="1" applyBorder="1" applyAlignment="1">
      <alignment horizontal="right"/>
    </xf>
    <xf numFmtId="166" fontId="1" fillId="0" borderId="26" xfId="20" applyNumberFormat="1" applyFont="1" applyFill="1" applyBorder="1" applyAlignment="1">
      <alignment horizontal="right"/>
    </xf>
    <xf numFmtId="166" fontId="1" fillId="0" borderId="0" xfId="20" applyNumberFormat="1" applyFont="1" applyFill="1" applyBorder="1" applyAlignment="1">
      <alignment horizontal="right"/>
    </xf>
    <xf numFmtId="166" fontId="1" fillId="0" borderId="23" xfId="20" applyNumberFormat="1" applyFont="1" applyFill="1" applyBorder="1" applyAlignment="1">
      <alignment horizontal="right"/>
    </xf>
    <xf numFmtId="0" fontId="1" fillId="0" borderId="0" xfId="68" applyFont="1">
      <alignment/>
      <protection/>
    </xf>
    <xf numFmtId="0" fontId="22" fillId="0" borderId="0" xfId="68" applyFont="1">
      <alignment/>
      <protection/>
    </xf>
    <xf numFmtId="0" fontId="20" fillId="0" borderId="0" xfId="71" applyFont="1">
      <alignment/>
      <protection/>
    </xf>
    <xf numFmtId="0" fontId="1" fillId="0" borderId="0" xfId="69" applyFont="1">
      <alignment/>
      <protection/>
    </xf>
    <xf numFmtId="49" fontId="20" fillId="0" borderId="0" xfId="0" applyNumberFormat="1" applyFont="1" applyAlignment="1">
      <alignment horizontal="left"/>
    </xf>
    <xf numFmtId="0" fontId="1" fillId="0" borderId="0" xfId="69" applyFont="1" applyAlignment="1">
      <alignment horizontal="left"/>
      <protection/>
    </xf>
    <xf numFmtId="0" fontId="22" fillId="9" borderId="20" xfId="68" applyFont="1" applyFill="1" applyBorder="1" applyAlignment="1">
      <alignment horizontal="center"/>
      <protection/>
    </xf>
    <xf numFmtId="169" fontId="22" fillId="9" borderId="27" xfId="68" applyNumberFormat="1" applyFont="1" applyFill="1" applyBorder="1" applyAlignment="1">
      <alignment horizontal="center" vertical="center"/>
      <protection/>
    </xf>
    <xf numFmtId="0" fontId="1" fillId="0" borderId="0" xfId="68" applyFont="1" applyAlignment="1">
      <alignment horizontal="center"/>
      <protection/>
    </xf>
    <xf numFmtId="0" fontId="1" fillId="34" borderId="28" xfId="68" applyFont="1" applyFill="1" applyBorder="1">
      <alignment/>
      <protection/>
    </xf>
    <xf numFmtId="166" fontId="22" fillId="0" borderId="29" xfId="70" applyNumberFormat="1" applyFont="1" applyFill="1" applyBorder="1" applyAlignment="1">
      <alignment horizontal="right"/>
    </xf>
    <xf numFmtId="0" fontId="1" fillId="34" borderId="30" xfId="68" applyFont="1" applyFill="1" applyBorder="1">
      <alignment/>
      <protection/>
    </xf>
    <xf numFmtId="166" fontId="22" fillId="0" borderId="31" xfId="70" applyNumberFormat="1" applyFont="1" applyFill="1" applyBorder="1" applyAlignment="1">
      <alignment horizontal="right"/>
    </xf>
    <xf numFmtId="166" fontId="22" fillId="34" borderId="0" xfId="70" applyNumberFormat="1" applyFont="1" applyFill="1" applyAlignment="1">
      <alignment horizontal="right"/>
    </xf>
    <xf numFmtId="0" fontId="1" fillId="34" borderId="0" xfId="68" applyFont="1" applyFill="1" quotePrefix="1">
      <alignment/>
      <protection/>
    </xf>
    <xf numFmtId="0" fontId="1" fillId="34" borderId="30" xfId="68" applyFont="1" applyFill="1" applyBorder="1" applyAlignment="1">
      <alignment horizontal="left"/>
      <protection/>
    </xf>
    <xf numFmtId="166" fontId="22" fillId="34" borderId="0" xfId="70" applyNumberFormat="1" applyFont="1" applyFill="1" applyAlignment="1">
      <alignment horizontal="right" vertical="center"/>
    </xf>
    <xf numFmtId="166" fontId="22" fillId="0" borderId="31" xfId="70" applyNumberFormat="1" applyFont="1" applyFill="1" applyBorder="1" applyAlignment="1">
      <alignment horizontal="right" vertical="center"/>
    </xf>
    <xf numFmtId="0" fontId="1" fillId="34" borderId="0" xfId="68" applyFont="1" applyFill="1">
      <alignment/>
      <protection/>
    </xf>
    <xf numFmtId="0" fontId="1" fillId="34" borderId="0" xfId="68" applyFont="1" applyFill="1" applyAlignment="1">
      <alignment horizontal="left"/>
      <protection/>
    </xf>
    <xf numFmtId="0" fontId="26" fillId="0" borderId="0" xfId="68" applyFont="1">
      <alignment/>
      <protection/>
    </xf>
    <xf numFmtId="1" fontId="20" fillId="0" borderId="0" xfId="0" applyNumberFormat="1" applyFont="1"/>
    <xf numFmtId="0" fontId="21" fillId="9" borderId="32" xfId="0" applyFont="1" applyFill="1" applyBorder="1" applyAlignment="1">
      <alignment horizontal="center"/>
    </xf>
    <xf numFmtId="0" fontId="1" fillId="0" borderId="0" xfId="0" applyFont="1"/>
    <xf numFmtId="0" fontId="21" fillId="10" borderId="24" xfId="0" applyFont="1" applyFill="1" applyBorder="1" applyAlignment="1">
      <alignment horizontal="left"/>
    </xf>
    <xf numFmtId="1" fontId="20" fillId="10" borderId="33" xfId="0" applyNumberFormat="1" applyFont="1" applyFill="1" applyBorder="1" applyAlignment="1">
      <alignment horizontal="right" indent="1"/>
    </xf>
    <xf numFmtId="1" fontId="20" fillId="10" borderId="24" xfId="0" applyNumberFormat="1" applyFont="1" applyFill="1" applyBorder="1" applyAlignment="1">
      <alignment horizontal="right" indent="1"/>
    </xf>
    <xf numFmtId="1" fontId="1" fillId="10" borderId="24" xfId="0" applyNumberFormat="1" applyFont="1" applyFill="1" applyBorder="1" applyAlignment="1">
      <alignment horizontal="right" indent="1"/>
    </xf>
    <xf numFmtId="0" fontId="20" fillId="0" borderId="0" xfId="0" applyFont="1" applyAlignment="1">
      <alignment horizontal="right" indent="1"/>
    </xf>
    <xf numFmtId="1" fontId="20" fillId="0" borderId="0" xfId="0" applyNumberFormat="1" applyFont="1" applyAlignment="1">
      <alignment horizontal="right" indent="1"/>
    </xf>
    <xf numFmtId="0" fontId="25" fillId="0" borderId="0" xfId="0" applyFont="1" applyAlignment="1">
      <alignment vertical="top"/>
    </xf>
    <xf numFmtId="2" fontId="20" fillId="0" borderId="0" xfId="0" applyNumberFormat="1" applyFont="1"/>
    <xf numFmtId="0" fontId="22" fillId="0" borderId="1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165" fontId="20" fillId="0" borderId="0" xfId="0" applyNumberFormat="1" applyFont="1" applyAlignment="1">
      <alignment horizontal="right" indent="1"/>
    </xf>
    <xf numFmtId="0" fontId="20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21" fillId="9" borderId="20" xfId="0" applyFont="1" applyFill="1" applyBorder="1" applyAlignment="1">
      <alignment horizontal="left" vertical="center"/>
    </xf>
    <xf numFmtId="0" fontId="21" fillId="9" borderId="32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167" fontId="1" fillId="0" borderId="34" xfId="20" applyNumberFormat="1" applyFont="1" applyFill="1" applyBorder="1" applyAlignment="1">
      <alignment horizontal="right"/>
    </xf>
    <xf numFmtId="167" fontId="1" fillId="0" borderId="13" xfId="20" applyNumberFormat="1" applyFont="1" applyFill="1" applyBorder="1" applyAlignment="1">
      <alignment horizontal="right"/>
    </xf>
    <xf numFmtId="167" fontId="1" fillId="0" borderId="35" xfId="20" applyNumberFormat="1" applyFont="1" applyFill="1" applyBorder="1" applyAlignment="1">
      <alignment horizontal="right"/>
    </xf>
    <xf numFmtId="167" fontId="1" fillId="0" borderId="15" xfId="20" applyNumberFormat="1" applyFont="1" applyFill="1" applyBorder="1" applyAlignment="1">
      <alignment horizontal="right"/>
    </xf>
    <xf numFmtId="167" fontId="1" fillId="0" borderId="36" xfId="20" applyNumberFormat="1" applyFont="1" applyFill="1" applyBorder="1" applyAlignment="1">
      <alignment horizontal="right"/>
    </xf>
    <xf numFmtId="167" fontId="1" fillId="0" borderId="12" xfId="20" applyNumberFormat="1" applyFont="1" applyFill="1" applyBorder="1" applyAlignment="1">
      <alignment horizontal="right"/>
    </xf>
    <xf numFmtId="167" fontId="1" fillId="0" borderId="37" xfId="20" applyNumberFormat="1" applyFont="1" applyFill="1" applyBorder="1" applyAlignment="1">
      <alignment horizontal="right"/>
    </xf>
    <xf numFmtId="167" fontId="1" fillId="0" borderId="17" xfId="20" applyNumberFormat="1" applyFont="1" applyFill="1" applyBorder="1" applyAlignment="1">
      <alignment horizontal="right"/>
    </xf>
    <xf numFmtId="167" fontId="1" fillId="0" borderId="38" xfId="20" applyNumberFormat="1" applyFont="1" applyFill="1" applyBorder="1" applyAlignment="1">
      <alignment horizontal="right"/>
    </xf>
    <xf numFmtId="167" fontId="1" fillId="0" borderId="0" xfId="20" applyNumberFormat="1" applyFont="1" applyFill="1" applyBorder="1" applyAlignment="1">
      <alignment horizontal="right"/>
    </xf>
    <xf numFmtId="166" fontId="1" fillId="0" borderId="0" xfId="2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1" fillId="9" borderId="39" xfId="0" applyFont="1" applyFill="1" applyBorder="1" applyAlignment="1">
      <alignment horizontal="center"/>
    </xf>
    <xf numFmtId="0" fontId="21" fillId="9" borderId="24" xfId="0" applyFont="1" applyFill="1" applyBorder="1" applyAlignment="1">
      <alignment horizontal="center"/>
    </xf>
    <xf numFmtId="165" fontId="20" fillId="10" borderId="33" xfId="0" applyNumberFormat="1" applyFont="1" applyFill="1" applyBorder="1" applyAlignment="1">
      <alignment horizontal="right"/>
    </xf>
    <xf numFmtId="165" fontId="20" fillId="10" borderId="24" xfId="0" applyNumberFormat="1" applyFont="1" applyFill="1" applyBorder="1" applyAlignment="1">
      <alignment horizontal="right"/>
    </xf>
    <xf numFmtId="165" fontId="1" fillId="10" borderId="24" xfId="0" applyNumberFormat="1" applyFont="1" applyFill="1" applyBorder="1" applyAlignment="1">
      <alignment horizontal="right"/>
    </xf>
    <xf numFmtId="165" fontId="1" fillId="0" borderId="34" xfId="20" applyNumberFormat="1" applyFont="1" applyFill="1" applyBorder="1" applyAlignment="1">
      <alignment horizontal="right"/>
    </xf>
    <xf numFmtId="165" fontId="1" fillId="0" borderId="13" xfId="20" applyNumberFormat="1" applyFont="1" applyFill="1" applyBorder="1" applyAlignment="1">
      <alignment horizontal="right"/>
    </xf>
    <xf numFmtId="165" fontId="1" fillId="0" borderId="35" xfId="20" applyNumberFormat="1" applyFont="1" applyFill="1" applyBorder="1" applyAlignment="1">
      <alignment horizontal="right"/>
    </xf>
    <xf numFmtId="165" fontId="1" fillId="0" borderId="15" xfId="20" applyNumberFormat="1" applyFont="1" applyFill="1" applyBorder="1" applyAlignment="1">
      <alignment horizontal="right"/>
    </xf>
    <xf numFmtId="3" fontId="20" fillId="0" borderId="0" xfId="0" applyNumberFormat="1" applyFont="1"/>
    <xf numFmtId="165" fontId="1" fillId="0" borderId="36" xfId="20" applyNumberFormat="1" applyFont="1" applyFill="1" applyBorder="1" applyAlignment="1">
      <alignment horizontal="right"/>
    </xf>
    <xf numFmtId="165" fontId="1" fillId="0" borderId="12" xfId="20" applyNumberFormat="1" applyFont="1" applyFill="1" applyBorder="1" applyAlignment="1">
      <alignment horizontal="right"/>
    </xf>
    <xf numFmtId="165" fontId="1" fillId="0" borderId="37" xfId="20" applyNumberFormat="1" applyFont="1" applyFill="1" applyBorder="1" applyAlignment="1">
      <alignment horizontal="right"/>
    </xf>
    <xf numFmtId="165" fontId="1" fillId="0" borderId="17" xfId="20" applyNumberFormat="1" applyFont="1" applyFill="1" applyBorder="1" applyAlignment="1">
      <alignment horizontal="right"/>
    </xf>
    <xf numFmtId="165" fontId="1" fillId="0" borderId="38" xfId="20" applyNumberFormat="1" applyFont="1" applyFill="1" applyBorder="1" applyAlignment="1">
      <alignment horizontal="right"/>
    </xf>
    <xf numFmtId="165" fontId="1" fillId="0" borderId="0" xfId="20" applyNumberFormat="1" applyFont="1" applyFill="1" applyAlignment="1">
      <alignment horizontal="right"/>
    </xf>
    <xf numFmtId="166" fontId="1" fillId="0" borderId="0" xfId="20" applyNumberFormat="1" applyFont="1" applyAlignment="1">
      <alignment horizontal="right"/>
    </xf>
    <xf numFmtId="164" fontId="1" fillId="0" borderId="15" xfId="20" applyFont="1" applyBorder="1" applyAlignment="1">
      <alignment horizontal="right"/>
    </xf>
    <xf numFmtId="0" fontId="21" fillId="9" borderId="40" xfId="0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 vertical="center"/>
    </xf>
    <xf numFmtId="0" fontId="21" fillId="9" borderId="41" xfId="0" applyFont="1" applyFill="1" applyBorder="1" applyAlignment="1">
      <alignment horizontal="center" wrapText="1"/>
    </xf>
    <xf numFmtId="0" fontId="21" fillId="9" borderId="17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wrapText="1"/>
    </xf>
    <xf numFmtId="166" fontId="1" fillId="0" borderId="22" xfId="20" applyNumberFormat="1" applyFont="1" applyFill="1" applyBorder="1" applyAlignment="1">
      <alignment horizontal="right"/>
    </xf>
    <xf numFmtId="164" fontId="1" fillId="0" borderId="42" xfId="20" applyFont="1" applyFill="1" applyBorder="1" applyAlignment="1">
      <alignment horizontal="right"/>
    </xf>
    <xf numFmtId="166" fontId="1" fillId="0" borderId="16" xfId="20" applyNumberFormat="1" applyFont="1" applyFill="1" applyBorder="1" applyAlignment="1">
      <alignment horizontal="right"/>
    </xf>
    <xf numFmtId="164" fontId="1" fillId="0" borderId="43" xfId="20" applyFont="1" applyFill="1" applyBorder="1" applyAlignment="1">
      <alignment horizontal="right"/>
    </xf>
    <xf numFmtId="164" fontId="1" fillId="0" borderId="44" xfId="20" applyFont="1" applyFill="1" applyBorder="1" applyAlignment="1">
      <alignment horizontal="right"/>
    </xf>
    <xf numFmtId="164" fontId="1" fillId="0" borderId="41" xfId="20" applyFont="1" applyFill="1" applyBorder="1" applyAlignment="1">
      <alignment horizontal="right"/>
    </xf>
    <xf numFmtId="0" fontId="21" fillId="0" borderId="40" xfId="0" applyFont="1" applyBorder="1" applyAlignment="1">
      <alignment horizontal="left"/>
    </xf>
    <xf numFmtId="166" fontId="1" fillId="0" borderId="45" xfId="20" applyNumberFormat="1" applyFont="1" applyFill="1" applyBorder="1" applyAlignment="1">
      <alignment horizontal="right"/>
    </xf>
    <xf numFmtId="164" fontId="1" fillId="0" borderId="46" xfId="20" applyFont="1" applyFill="1" applyBorder="1" applyAlignment="1">
      <alignment horizontal="right"/>
    </xf>
    <xf numFmtId="166" fontId="1" fillId="0" borderId="40" xfId="20" applyNumberFormat="1" applyFont="1" applyFill="1" applyBorder="1" applyAlignment="1">
      <alignment horizontal="right"/>
    </xf>
    <xf numFmtId="164" fontId="1" fillId="0" borderId="45" xfId="20" applyFont="1" applyFill="1" applyBorder="1" applyAlignment="1">
      <alignment horizontal="right"/>
    </xf>
    <xf numFmtId="0" fontId="20" fillId="0" borderId="0" xfId="0" applyFont="1" applyAlignment="1">
      <alignment horizontal="right" indent="2"/>
    </xf>
    <xf numFmtId="3" fontId="20" fillId="0" borderId="17" xfId="0" applyNumberFormat="1" applyFont="1" applyBorder="1"/>
    <xf numFmtId="3" fontId="1" fillId="0" borderId="17" xfId="0" applyNumberFormat="1" applyFont="1" applyBorder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165" fontId="20" fillId="0" borderId="13" xfId="0" applyNumberFormat="1" applyFont="1" applyBorder="1"/>
    <xf numFmtId="0" fontId="1" fillId="0" borderId="0" xfId="65" applyFont="1">
      <alignment/>
      <protection/>
    </xf>
    <xf numFmtId="0" fontId="21" fillId="9" borderId="26" xfId="0" applyFont="1" applyFill="1" applyBorder="1" applyAlignment="1">
      <alignment horizontal="center"/>
    </xf>
    <xf numFmtId="0" fontId="20" fillId="0" borderId="14" xfId="0" applyFont="1" applyBorder="1"/>
    <xf numFmtId="0" fontId="20" fillId="0" borderId="16" xfId="0" applyFont="1" applyBorder="1"/>
    <xf numFmtId="0" fontId="20" fillId="0" borderId="18" xfId="0" applyFont="1" applyBorder="1"/>
    <xf numFmtId="0" fontId="21" fillId="10" borderId="20" xfId="0" applyFont="1" applyFill="1" applyBorder="1" applyAlignment="1">
      <alignment horizontal="left"/>
    </xf>
    <xf numFmtId="3" fontId="20" fillId="10" borderId="20" xfId="0" applyNumberFormat="1" applyFont="1" applyFill="1" applyBorder="1" applyAlignment="1">
      <alignment horizontal="right" indent="2"/>
    </xf>
    <xf numFmtId="3" fontId="20" fillId="0" borderId="13" xfId="0" applyNumberFormat="1" applyFont="1" applyBorder="1" applyAlignment="1">
      <alignment horizontal="right" indent="2"/>
    </xf>
    <xf numFmtId="3" fontId="20" fillId="0" borderId="15" xfId="0" applyNumberFormat="1" applyFont="1" applyBorder="1" applyAlignment="1">
      <alignment horizontal="right" indent="2"/>
    </xf>
    <xf numFmtId="1" fontId="20" fillId="0" borderId="47" xfId="0" applyNumberFormat="1" applyFont="1" applyFill="1" applyBorder="1" applyAlignment="1">
      <alignment horizontal="right" indent="1"/>
    </xf>
    <xf numFmtId="1" fontId="20" fillId="0" borderId="21" xfId="0" applyNumberFormat="1" applyFont="1" applyFill="1" applyBorder="1" applyAlignment="1">
      <alignment horizontal="right" indent="1"/>
    </xf>
    <xf numFmtId="1" fontId="20" fillId="0" borderId="35" xfId="0" applyNumberFormat="1" applyFont="1" applyFill="1" applyBorder="1" applyAlignment="1">
      <alignment horizontal="right" indent="1"/>
    </xf>
    <xf numFmtId="1" fontId="20" fillId="0" borderId="15" xfId="0" applyNumberFormat="1" applyFont="1" applyFill="1" applyBorder="1" applyAlignment="1">
      <alignment horizontal="right" indent="1"/>
    </xf>
    <xf numFmtId="1" fontId="1" fillId="0" borderId="15" xfId="0" applyNumberFormat="1" applyFont="1" applyFill="1" applyBorder="1" applyAlignment="1">
      <alignment horizontal="right" indent="1"/>
    </xf>
    <xf numFmtId="1" fontId="20" fillId="0" borderId="36" xfId="0" applyNumberFormat="1" applyFont="1" applyFill="1" applyBorder="1" applyAlignment="1">
      <alignment horizontal="right" indent="1"/>
    </xf>
    <xf numFmtId="1" fontId="20" fillId="0" borderId="12" xfId="0" applyNumberFormat="1" applyFont="1" applyFill="1" applyBorder="1" applyAlignment="1">
      <alignment horizontal="right" indent="1"/>
    </xf>
    <xf numFmtId="1" fontId="1" fillId="0" borderId="12" xfId="0" applyNumberFormat="1" applyFont="1" applyFill="1" applyBorder="1" applyAlignment="1">
      <alignment horizontal="right" indent="1"/>
    </xf>
    <xf numFmtId="1" fontId="20" fillId="0" borderId="37" xfId="0" applyNumberFormat="1" applyFont="1" applyFill="1" applyBorder="1" applyAlignment="1">
      <alignment horizontal="right" indent="1"/>
    </xf>
    <xf numFmtId="1" fontId="20" fillId="0" borderId="17" xfId="0" applyNumberFormat="1" applyFont="1" applyFill="1" applyBorder="1" applyAlignment="1">
      <alignment horizontal="right" indent="1"/>
    </xf>
    <xf numFmtId="1" fontId="1" fillId="0" borderId="17" xfId="0" applyNumberFormat="1" applyFont="1" applyFill="1" applyBorder="1" applyAlignment="1">
      <alignment horizontal="right" indent="1"/>
    </xf>
    <xf numFmtId="0" fontId="20" fillId="0" borderId="36" xfId="0" applyFont="1" applyFill="1" applyBorder="1" applyAlignment="1">
      <alignment horizontal="right" indent="1"/>
    </xf>
    <xf numFmtId="0" fontId="20" fillId="0" borderId="12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20" fillId="0" borderId="35" xfId="0" applyFont="1" applyFill="1" applyBorder="1" applyAlignment="1">
      <alignment horizontal="right" indent="1"/>
    </xf>
    <xf numFmtId="0" fontId="20" fillId="0" borderId="15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20" fillId="0" borderId="37" xfId="0" applyFont="1" applyFill="1" applyBorder="1" applyAlignment="1">
      <alignment horizontal="right" indent="1"/>
    </xf>
    <xf numFmtId="0" fontId="20" fillId="0" borderId="17" xfId="0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21" fillId="0" borderId="0" xfId="91" applyFont="1" applyAlignment="1">
      <alignment horizontal="left"/>
      <protection/>
    </xf>
    <xf numFmtId="0" fontId="20" fillId="0" borderId="0" xfId="91" applyFont="1">
      <alignment/>
      <protection/>
    </xf>
    <xf numFmtId="0" fontId="20" fillId="0" borderId="0" xfId="91" applyFont="1" applyAlignment="1">
      <alignment horizontal="left"/>
      <protection/>
    </xf>
    <xf numFmtId="0" fontId="1" fillId="0" borderId="0" xfId="64" applyFont="1">
      <alignment/>
      <protection/>
    </xf>
    <xf numFmtId="2" fontId="20" fillId="0" borderId="0" xfId="91" applyNumberFormat="1" applyFont="1">
      <alignment/>
      <protection/>
    </xf>
    <xf numFmtId="2" fontId="1" fillId="0" borderId="0" xfId="91" applyNumberFormat="1" applyFont="1">
      <alignment/>
      <protection/>
    </xf>
    <xf numFmtId="165" fontId="20" fillId="0" borderId="0" xfId="91" applyNumberFormat="1" applyFont="1">
      <alignment/>
      <protection/>
    </xf>
    <xf numFmtId="2" fontId="20" fillId="0" borderId="0" xfId="91" applyNumberFormat="1" applyFont="1" applyAlignment="1">
      <alignment horizontal="left"/>
      <protection/>
    </xf>
    <xf numFmtId="0" fontId="25" fillId="0" borderId="0" xfId="91" applyFont="1">
      <alignment/>
      <protection/>
    </xf>
    <xf numFmtId="1" fontId="20" fillId="0" borderId="0" xfId="91" applyNumberFormat="1" applyFont="1">
      <alignment/>
      <protection/>
    </xf>
    <xf numFmtId="165" fontId="20" fillId="0" borderId="35" xfId="0" applyNumberFormat="1" applyFont="1" applyFill="1" applyBorder="1" applyAlignment="1">
      <alignment horizontal="right" indent="1"/>
    </xf>
    <xf numFmtId="165" fontId="20" fillId="0" borderId="15" xfId="0" applyNumberFormat="1" applyFont="1" applyFill="1" applyBorder="1" applyAlignment="1">
      <alignment horizontal="right" indent="1"/>
    </xf>
    <xf numFmtId="165" fontId="1" fillId="0" borderId="37" xfId="0" applyNumberFormat="1" applyFont="1" applyFill="1" applyBorder="1" applyAlignment="1">
      <alignment horizontal="right" indent="1"/>
    </xf>
    <xf numFmtId="165" fontId="1" fillId="0" borderId="17" xfId="0" applyNumberFormat="1" applyFont="1" applyFill="1" applyBorder="1" applyAlignment="1">
      <alignment horizontal="right" indent="1"/>
    </xf>
    <xf numFmtId="165" fontId="20" fillId="0" borderId="17" xfId="0" applyNumberFormat="1" applyFont="1" applyFill="1" applyBorder="1" applyAlignment="1">
      <alignment horizontal="right" indent="1"/>
    </xf>
    <xf numFmtId="165" fontId="20" fillId="0" borderId="36" xfId="0" applyNumberFormat="1" applyFont="1" applyFill="1" applyBorder="1" applyAlignment="1">
      <alignment horizontal="right" indent="1"/>
    </xf>
    <xf numFmtId="165" fontId="20" fillId="0" borderId="12" xfId="0" applyNumberFormat="1" applyFont="1" applyFill="1" applyBorder="1" applyAlignment="1">
      <alignment horizontal="right" indent="1"/>
    </xf>
    <xf numFmtId="165" fontId="20" fillId="0" borderId="34" xfId="0" applyNumberFormat="1" applyFont="1" applyFill="1" applyBorder="1" applyAlignment="1">
      <alignment horizontal="right" indent="1"/>
    </xf>
    <xf numFmtId="165" fontId="20" fillId="0" borderId="13" xfId="0" applyNumberFormat="1" applyFont="1" applyFill="1" applyBorder="1" applyAlignment="1">
      <alignment horizontal="right" indent="1"/>
    </xf>
    <xf numFmtId="165" fontId="1" fillId="0" borderId="35" xfId="0" applyNumberFormat="1" applyFont="1" applyFill="1" applyBorder="1" applyAlignment="1">
      <alignment horizontal="right" indent="1"/>
    </xf>
    <xf numFmtId="165" fontId="1" fillId="0" borderId="15" xfId="0" applyNumberFormat="1" applyFont="1" applyFill="1" applyBorder="1" applyAlignment="1">
      <alignment horizontal="right" indent="1"/>
    </xf>
    <xf numFmtId="165" fontId="1" fillId="0" borderId="36" xfId="0" applyNumberFormat="1" applyFont="1" applyFill="1" applyBorder="1" applyAlignment="1">
      <alignment horizontal="right" indent="1"/>
    </xf>
    <xf numFmtId="165" fontId="1" fillId="0" borderId="12" xfId="0" applyNumberFormat="1" applyFont="1" applyFill="1" applyBorder="1" applyAlignment="1">
      <alignment horizontal="right" indent="1"/>
    </xf>
    <xf numFmtId="165" fontId="20" fillId="0" borderId="32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0" fontId="21" fillId="0" borderId="15" xfId="0" applyFont="1" applyFill="1" applyBorder="1" applyAlignment="1">
      <alignment horizontal="left"/>
    </xf>
    <xf numFmtId="0" fontId="20" fillId="0" borderId="0" xfId="0" applyFont="1" applyFill="1"/>
    <xf numFmtId="165" fontId="20" fillId="0" borderId="0" xfId="0" applyNumberFormat="1" applyFont="1" applyFill="1"/>
    <xf numFmtId="165" fontId="1" fillId="10" borderId="24" xfId="0" applyNumberFormat="1" applyFont="1" applyFill="1" applyBorder="1" applyAlignment="1">
      <alignment horizontal="right" indent="1"/>
    </xf>
    <xf numFmtId="0" fontId="21" fillId="0" borderId="12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1" fontId="20" fillId="0" borderId="0" xfId="0" applyNumberFormat="1" applyFont="1" applyFill="1"/>
    <xf numFmtId="1" fontId="1" fillId="0" borderId="10" xfId="65" applyNumberFormat="1" applyFont="1" applyFill="1" applyBorder="1">
      <alignment/>
      <protection/>
    </xf>
    <xf numFmtId="1" fontId="1" fillId="0" borderId="0" xfId="0" applyNumberFormat="1" applyFont="1" applyFill="1"/>
    <xf numFmtId="0" fontId="1" fillId="0" borderId="0" xfId="0" applyFont="1" applyFill="1"/>
    <xf numFmtId="1" fontId="27" fillId="0" borderId="0" xfId="0" applyNumberFormat="1" applyFont="1"/>
    <xf numFmtId="171" fontId="20" fillId="0" borderId="0" xfId="0" applyNumberFormat="1" applyFont="1"/>
    <xf numFmtId="164" fontId="27" fillId="0" borderId="15" xfId="20" applyFont="1" applyFill="1" applyBorder="1" applyAlignment="1">
      <alignment horizontal="right"/>
    </xf>
    <xf numFmtId="165" fontId="27" fillId="0" borderId="0" xfId="0" applyNumberFormat="1" applyFont="1"/>
    <xf numFmtId="0" fontId="1" fillId="0" borderId="0" xfId="0" applyFont="1" applyAlignment="1">
      <alignment horizontal="left"/>
    </xf>
    <xf numFmtId="165" fontId="1" fillId="10" borderId="33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0" fontId="27" fillId="0" borderId="0" xfId="0" applyFont="1" applyAlignment="1">
      <alignment wrapText="1"/>
    </xf>
    <xf numFmtId="3" fontId="27" fillId="0" borderId="0" xfId="0" applyNumberFormat="1" applyFont="1"/>
    <xf numFmtId="171" fontId="27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171" fontId="1" fillId="0" borderId="0" xfId="0" applyNumberFormat="1" applyFont="1"/>
    <xf numFmtId="9" fontId="1" fillId="0" borderId="0" xfId="0" applyNumberFormat="1" applyFont="1"/>
    <xf numFmtId="0" fontId="1" fillId="0" borderId="48" xfId="0" applyFont="1" applyBorder="1"/>
    <xf numFmtId="0" fontId="1" fillId="0" borderId="49" xfId="0" applyFont="1" applyBorder="1"/>
    <xf numFmtId="0" fontId="21" fillId="9" borderId="14" xfId="0" applyFont="1" applyFill="1" applyBorder="1" applyAlignment="1">
      <alignment horizontal="center"/>
    </xf>
    <xf numFmtId="0" fontId="21" fillId="9" borderId="20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0" fontId="1" fillId="0" borderId="0" xfId="71" applyFont="1" applyAlignment="1">
      <alignment horizontal="left"/>
      <protection/>
    </xf>
    <xf numFmtId="0" fontId="20" fillId="0" borderId="0" xfId="71" applyFont="1" applyAlignment="1">
      <alignment horizontal="left"/>
      <protection/>
    </xf>
    <xf numFmtId="0" fontId="25" fillId="0" borderId="0" xfId="71" applyFont="1">
      <alignment/>
      <protection/>
    </xf>
    <xf numFmtId="0" fontId="21" fillId="0" borderId="0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164" fontId="1" fillId="0" borderId="25" xfId="20" applyFont="1" applyFill="1" applyBorder="1" applyAlignment="1">
      <alignment horizontal="right"/>
    </xf>
    <xf numFmtId="164" fontId="1" fillId="0" borderId="24" xfId="20" applyFont="1" applyFill="1" applyBorder="1" applyAlignment="1">
      <alignment horizontal="right"/>
    </xf>
    <xf numFmtId="166" fontId="1" fillId="0" borderId="25" xfId="20" applyNumberFormat="1" applyFont="1" applyFill="1" applyBorder="1" applyAlignment="1">
      <alignment horizontal="right"/>
    </xf>
    <xf numFmtId="166" fontId="1" fillId="0" borderId="24" xfId="20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 indent="1"/>
    </xf>
    <xf numFmtId="0" fontId="20" fillId="0" borderId="24" xfId="0" applyFont="1" applyFill="1" applyBorder="1" applyAlignment="1">
      <alignment horizontal="right" indent="1"/>
    </xf>
    <xf numFmtId="0" fontId="1" fillId="0" borderId="24" xfId="0" applyFont="1" applyFill="1" applyBorder="1" applyAlignment="1">
      <alignment horizontal="right" indent="1"/>
    </xf>
    <xf numFmtId="1" fontId="1" fillId="0" borderId="24" xfId="0" applyNumberFormat="1" applyFont="1" applyFill="1" applyBorder="1" applyAlignment="1">
      <alignment horizontal="right" indent="1"/>
    </xf>
    <xf numFmtId="165" fontId="20" fillId="0" borderId="33" xfId="0" applyNumberFormat="1" applyFont="1" applyFill="1" applyBorder="1" applyAlignment="1">
      <alignment horizontal="right" indent="1"/>
    </xf>
    <xf numFmtId="165" fontId="20" fillId="0" borderId="24" xfId="0" applyNumberFormat="1" applyFont="1" applyFill="1" applyBorder="1" applyAlignment="1">
      <alignment horizontal="right" indent="1"/>
    </xf>
    <xf numFmtId="0" fontId="21" fillId="0" borderId="24" xfId="0" applyFont="1" applyFill="1" applyBorder="1" applyAlignment="1">
      <alignment horizontal="left"/>
    </xf>
    <xf numFmtId="167" fontId="1" fillId="0" borderId="33" xfId="20" applyNumberFormat="1" applyFont="1" applyFill="1" applyBorder="1" applyAlignment="1">
      <alignment horizontal="right"/>
    </xf>
    <xf numFmtId="167" fontId="1" fillId="0" borderId="24" xfId="20" applyNumberFormat="1" applyFont="1" applyFill="1" applyBorder="1" applyAlignment="1">
      <alignment horizontal="right"/>
    </xf>
    <xf numFmtId="165" fontId="1" fillId="0" borderId="33" xfId="20" applyNumberFormat="1" applyFont="1" applyFill="1" applyBorder="1" applyAlignment="1">
      <alignment horizontal="right"/>
    </xf>
    <xf numFmtId="165" fontId="1" fillId="0" borderId="24" xfId="20" applyNumberFormat="1" applyFont="1" applyFill="1" applyBorder="1" applyAlignment="1">
      <alignment horizontal="right"/>
    </xf>
    <xf numFmtId="0" fontId="21" fillId="9" borderId="14" xfId="0" applyFont="1" applyFill="1" applyBorder="1" applyAlignment="1">
      <alignment horizontal="center"/>
    </xf>
    <xf numFmtId="0" fontId="21" fillId="9" borderId="20" xfId="0" applyFont="1" applyFill="1" applyBorder="1" applyAlignment="1">
      <alignment horizontal="center"/>
    </xf>
    <xf numFmtId="0" fontId="21" fillId="9" borderId="27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  <cellStyle name="Normal 3 2" xfId="68"/>
    <cellStyle name="Normal 13" xfId="69"/>
    <cellStyle name="NumberCellStyle 2" xfId="70"/>
    <cellStyle name="Normal 7" xfId="71"/>
    <cellStyle name="20% - Accent1 2" xfId="72"/>
    <cellStyle name="40% - Accent1 2" xfId="73"/>
    <cellStyle name="20% - Accent2 2" xfId="74"/>
    <cellStyle name="40% - Accent2 2" xfId="75"/>
    <cellStyle name="20% - Accent3 2" xfId="76"/>
    <cellStyle name="40% - Accent3 2" xfId="77"/>
    <cellStyle name="20% - Accent4 2" xfId="78"/>
    <cellStyle name="40% - Accent4 2" xfId="79"/>
    <cellStyle name="20% - Accent5 2" xfId="80"/>
    <cellStyle name="40% - Accent5 2" xfId="81"/>
    <cellStyle name="20% - Accent6 2" xfId="82"/>
    <cellStyle name="40% - Accent6 2" xfId="83"/>
    <cellStyle name="Normal 3 3" xfId="84"/>
    <cellStyle name="Note 2 2" xfId="85"/>
    <cellStyle name="Normal 4 2" xfId="86"/>
    <cellStyle name="Normal 5 2" xfId="87"/>
    <cellStyle name="Normal 6 2" xfId="88"/>
    <cellStyle name="Normal 3 2 2" xfId="89"/>
    <cellStyle name="Normal 7 2" xfId="90"/>
    <cellStyle name="Normal 8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"/>
          <c:y val="0.04275"/>
          <c:w val="0.828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1'!$B$9:$B$21</c:f>
              <c:strCache/>
            </c:strRef>
          </c:cat>
          <c:val>
            <c:numRef>
              <c:f>'Figure 1'!$C$9:$C$21</c:f>
              <c:numCache/>
            </c:numRef>
          </c:val>
        </c:ser>
        <c:ser>
          <c:idx val="1"/>
          <c:order val="1"/>
          <c:tx>
            <c:v/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1'!$B$9:$B$21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/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1'!$B$9:$B$21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overlap val="-27"/>
        <c:gapWidth val="219"/>
        <c:axId val="19589912"/>
        <c:axId val="42091481"/>
      </c:bar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commercial aircraft fleet by operator country, top 10 countries,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6175"/>
          <c:w val="0.4925"/>
          <c:h val="0.493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C05F03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8'!$F$58:$F$68</c:f>
              <c:strCache/>
            </c:strRef>
          </c:cat>
          <c:val>
            <c:numRef>
              <c:f>'Figure 8'!$G$58:$G$68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Commercial aircraft operated by EU Member States, 2022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6175"/>
          <c:w val="0.4925"/>
          <c:h val="0.4935"/>
        </c:manualLayout>
      </c:layout>
      <c:pieChart>
        <c:varyColors val="1"/>
        <c:ser>
          <c:idx val="0"/>
          <c:order val="0"/>
          <c:tx>
            <c:strRef>
              <c:f>'Figure 9'!$C$59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9'!$D$58:$H$58</c:f>
              <c:strCache/>
            </c:strRef>
          </c:cat>
          <c:val>
            <c:numRef>
              <c:f>'Figure 9'!$D$59:$H$59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75"/>
          <c:y val="0.0125"/>
          <c:w val="0.90925"/>
          <c:h val="0.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1'!$B$25:$B$44</c:f>
              <c:strCache/>
            </c:strRef>
          </c:cat>
          <c:val>
            <c:numRef>
              <c:f>'Figure 1'!$C$25:$C$44</c:f>
              <c:numCache/>
            </c:numRef>
          </c:val>
        </c:ser>
        <c:overlap val="-27"/>
        <c:gapWidth val="219"/>
        <c:axId val="43279010"/>
        <c:axId val="53966771"/>
      </c:bar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  <c:max val="1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32790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Passenger railway vehicles,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47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1'!$B$1</c:f>
              <c:numCache/>
            </c:numRef>
          </c:cat>
          <c:val>
            <c:numRef>
              <c:f>'Figure 1'!$B$5</c:f>
              <c:numCache/>
            </c:numRef>
          </c:val>
        </c:ser>
        <c:axId val="15938892"/>
        <c:axId val="9232301"/>
      </c:barChart>
      <c:catAx>
        <c:axId val="15938892"/>
        <c:scaling>
          <c:orientation val="minMax"/>
        </c:scaling>
        <c:axPos val="b"/>
        <c:delete val="1"/>
        <c:majorTickMark val="out"/>
        <c:minorTickMark val="none"/>
        <c:tickLblPos val="nextTo"/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</c:scaling>
        <c:axPos val="l"/>
        <c:delete val="1"/>
        <c:majorTickMark val="out"/>
        <c:minorTickMark val="none"/>
        <c:tickLblPos val="nextTo"/>
        <c:crossAx val="159388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5"/>
          <c:w val="0.99325"/>
          <c:h val="0.7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2'!$U$8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2'!$T$9:$T$46</c:f>
              <c:strCache/>
            </c:strRef>
          </c:cat>
          <c:val>
            <c:numRef>
              <c:f>'Figure 2'!$U$9:$U$46</c:f>
              <c:numCache/>
            </c:numRef>
          </c:val>
        </c:ser>
        <c:ser>
          <c:idx val="1"/>
          <c:order val="1"/>
          <c:tx>
            <c:strRef>
              <c:f>'Figure 2'!$V$8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2'!$T$9:$T$46</c:f>
              <c:strCache/>
            </c:strRef>
          </c:cat>
          <c:val>
            <c:numRef>
              <c:f>'Figure 2'!$V$9:$V$46</c:f>
              <c:numCache/>
            </c:numRef>
          </c:val>
        </c:ser>
        <c:ser>
          <c:idx val="2"/>
          <c:order val="2"/>
          <c:tx>
            <c:strRef>
              <c:f>'Figure 2'!$W$8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2'!$T$9:$T$46</c:f>
              <c:strCache/>
            </c:strRef>
          </c:cat>
          <c:val>
            <c:numRef>
              <c:f>'Figure 2'!$W$9:$W$46</c:f>
              <c:numCache/>
            </c:numRef>
          </c:val>
        </c:ser>
        <c:ser>
          <c:idx val="3"/>
          <c:order val="3"/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2'!$T$9:$T$46</c:f>
              <c:strCache/>
            </c:strRef>
          </c:cat>
          <c:val>
            <c:numRef>
              <c:f>'Figure 2'!$AE$18</c:f>
              <c:numCache/>
            </c:numRef>
          </c:val>
        </c:ser>
        <c:overlap val="100"/>
        <c:gapWidth val="75"/>
        <c:axId val="15981846"/>
        <c:axId val="9618887"/>
      </c:barChart>
      <c:catAx>
        <c:axId val="1598184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981846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8275"/>
          <c:y val="0.79425"/>
          <c:w val="0.466"/>
          <c:h val="0.02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 / total lorries and road tractors, 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325"/>
          <c:h val="0.6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3'!$H$73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3'!$G$74:$G$109</c:f>
              <c:strCache/>
            </c:strRef>
          </c:cat>
          <c:val>
            <c:numRef>
              <c:f>'Figure 3'!$H$74:$H$109</c:f>
              <c:numCache/>
            </c:numRef>
          </c:val>
        </c:ser>
        <c:ser>
          <c:idx val="1"/>
          <c:order val="1"/>
          <c:tx>
            <c:strRef>
              <c:f>'Figure 3'!$P$73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3'!$G$74:$G$109</c:f>
              <c:strCache/>
            </c:strRef>
          </c:cat>
          <c:val>
            <c:numRef>
              <c:f>'Figure 3'!$P$74:$P$109</c:f>
              <c:numCache/>
            </c:numRef>
          </c:val>
        </c:ser>
        <c:overlap val="-27"/>
        <c:gapWidth val="75"/>
        <c:axId val="19461120"/>
        <c:axId val="40932353"/>
      </c:barChart>
      <c:catAx>
        <c:axId val="1946112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  <c:max val="1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4611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4475"/>
          <c:w val="0.12425"/>
          <c:h val="0.02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Motorisation rate of road tractors,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road tractors / thousand inhabitants)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5"/>
          <c:w val="0.99325"/>
          <c:h val="0.6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4'!$G$68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4'!$F$69:$F$107</c:f>
              <c:strCache/>
            </c:strRef>
          </c:cat>
          <c:val>
            <c:numRef>
              <c:f>'Figure 4'!$G$69:$G$107</c:f>
              <c:numCache/>
            </c:numRef>
          </c:val>
        </c:ser>
        <c:ser>
          <c:idx val="1"/>
          <c:order val="1"/>
          <c:tx>
            <c:strRef>
              <c:f>'Figure 4'!$O$68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4'!$F$69:$F$107</c:f>
              <c:strCache/>
            </c:strRef>
          </c:cat>
          <c:val>
            <c:numRef>
              <c:f>'Figure 4'!$O$69:$O$107</c:f>
              <c:numCache/>
            </c:numRef>
          </c:val>
        </c:ser>
        <c:ser>
          <c:idx val="2"/>
          <c:order val="2"/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4'!$F$69:$F$107</c:f>
              <c:strCache/>
            </c:strRef>
          </c:cat>
          <c:val>
            <c:numRef>
              <c:f>'Figure 4'!$B$47</c:f>
              <c:numCache/>
            </c:numRef>
          </c:val>
        </c:ser>
        <c:overlap val="-27"/>
        <c:gapWidth val="75"/>
        <c:axId val="32846858"/>
        <c:axId val="27186267"/>
      </c:barChart>
      <c:catAx>
        <c:axId val="3284685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  <c:max val="18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8468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76475"/>
          <c:w val="0.1245"/>
          <c:h val="0.02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vessels and dumb and pushed vessels, top 5 countries,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05"/>
          <c:w val="0.99325"/>
          <c:h val="0.3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5'!$C$45</c:f>
              <c:strCache>
                <c:ptCount val="1"/>
                <c:pt idx="0">
                  <c:v>Self-propelled vessel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5'!$B$46:$B$50</c:f>
              <c:strCache/>
            </c:strRef>
          </c:cat>
          <c:val>
            <c:numRef>
              <c:f>'Figure 5'!$C$46:$C$50</c:f>
              <c:numCache/>
            </c:numRef>
          </c:val>
        </c:ser>
        <c:ser>
          <c:idx val="1"/>
          <c:order val="1"/>
          <c:tx>
            <c:strRef>
              <c:f>'Figure 5'!$D$45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5'!$B$46:$B$50</c:f>
              <c:strCache/>
            </c:strRef>
          </c:cat>
          <c:val>
            <c:numRef>
              <c:f>'Figure 5'!$D$46:$D$50</c:f>
              <c:numCache/>
            </c:numRef>
          </c:val>
        </c:ser>
        <c:overlap val="100"/>
        <c:gapWidth val="75"/>
        <c:axId val="43349812"/>
        <c:axId val="54603989"/>
      </c:barChart>
      <c:catAx>
        <c:axId val="43349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349812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25"/>
          <c:y val="0.7165"/>
          <c:w val="0.463"/>
          <c:h val="0.0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self-propelled vessels by load capacity, selected countries,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3"/>
          <c:w val="0.99325"/>
          <c:h val="0.56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6'!$M$48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6'!$L$49:$L$60</c:f>
              <c:strCache/>
            </c:strRef>
          </c:cat>
          <c:val>
            <c:numRef>
              <c:f>'Figure 6'!$M$49:$M$60</c:f>
              <c:numCache/>
            </c:numRef>
          </c:val>
        </c:ser>
        <c:ser>
          <c:idx val="1"/>
          <c:order val="1"/>
          <c:tx>
            <c:strRef>
              <c:f>'Figure 6'!$N$48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6'!$L$49:$L$60</c:f>
              <c:strCache/>
            </c:strRef>
          </c:cat>
          <c:val>
            <c:numRef>
              <c:f>'Figure 6'!$N$49:$N$60</c:f>
              <c:numCache/>
            </c:numRef>
          </c:val>
        </c:ser>
        <c:ser>
          <c:idx val="2"/>
          <c:order val="2"/>
          <c:tx>
            <c:strRef>
              <c:f>'Figure 6'!$O$48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6'!$L$49:$L$60</c:f>
              <c:strCache/>
            </c:strRef>
          </c:cat>
          <c:val>
            <c:numRef>
              <c:f>'Figure 6'!$O$49:$O$60</c:f>
              <c:numCache/>
            </c:numRef>
          </c:val>
        </c:ser>
        <c:overlap val="100"/>
        <c:gapWidth val="75"/>
        <c:axId val="21673854"/>
        <c:axId val="60846959"/>
      </c:barChart>
      <c:catAx>
        <c:axId val="2167385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6738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802"/>
          <c:w val="0.4907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dumb and pushed vessels by load capacity, selected countries,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6"/>
          <c:w val="0.99325"/>
          <c:h val="0.54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7'!$M$49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7'!$L$50:$L$61</c:f>
              <c:strCache/>
            </c:strRef>
          </c:cat>
          <c:val>
            <c:numRef>
              <c:f>'Figure 7'!$M$50:$M$61</c:f>
              <c:numCache/>
            </c:numRef>
          </c:val>
        </c:ser>
        <c:ser>
          <c:idx val="1"/>
          <c:order val="1"/>
          <c:tx>
            <c:strRef>
              <c:f>'Figure 7'!$N$49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7'!$L$50:$L$61</c:f>
              <c:strCache/>
            </c:strRef>
          </c:cat>
          <c:val>
            <c:numRef>
              <c:f>'Figure 7'!$N$50:$N$61</c:f>
              <c:numCache/>
            </c:numRef>
          </c:val>
        </c:ser>
        <c:ser>
          <c:idx val="2"/>
          <c:order val="2"/>
          <c:tx>
            <c:strRef>
              <c:f>'Figure 7'!$O$49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7'!$L$50:$L$61</c:f>
              <c:strCache/>
            </c:strRef>
          </c:cat>
          <c:val>
            <c:numRef>
              <c:f>'Figure 7'!$O$50:$O$61</c:f>
              <c:numCache/>
            </c:numRef>
          </c:val>
        </c:ser>
        <c:overlap val="100"/>
        <c:gapWidth val="75"/>
        <c:axId val="10751720"/>
        <c:axId val="29656617"/>
      </c:barChart>
      <c:catAx>
        <c:axId val="10751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7517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"/>
          <c:y val="0.785"/>
          <c:w val="0.49075"/>
          <c:h val="0.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0.0925</cdr:y>
    </cdr:from>
    <cdr:to>
      <cdr:x>0.987</cdr:x>
      <cdr:y>0.87175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33450"/>
          <a:ext cx="10125075" cy="7915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0.86275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75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Data not available for Belgium, Bulgaria, Germany, Italy, Latvia, Netherlands, Norway and Serbia.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2019 data instead of 2020.</a:t>
          </a:r>
        </a:p>
        <a:p>
          <a:r>
            <a:rPr lang="fr-BE" sz="1200">
              <a:latin typeface="Arial" panose="020B0604020202020204" pitchFamily="34" charset="0"/>
            </a:rPr>
            <a:t>(*) This designation is without prejudice to positions on status, and is in line with UNSCR 1244/99 and the ICJ Opinion </a:t>
          </a:r>
        </a:p>
        <a:p>
          <a:r>
            <a:rPr lang="fr-BE" sz="1200">
              <a:latin typeface="Arial" panose="020B0604020202020204" pitchFamily="34" charset="0"/>
            </a:rPr>
            <a:t>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rail_eq_pa_nty)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85725</xdr:rowOff>
    </xdr:from>
    <xdr:to>
      <xdr:col>13</xdr:col>
      <xdr:colOff>104775</xdr:colOff>
      <xdr:row>23</xdr:row>
      <xdr:rowOff>47625</xdr:rowOff>
    </xdr:to>
    <xdr:graphicFrame macro="">
      <xdr:nvGraphicFramePr>
        <xdr:cNvPr id="3" name="Chart 2"/>
        <xdr:cNvGraphicFramePr/>
      </xdr:nvGraphicFramePr>
      <xdr:xfrm>
        <a:off x="504825" y="571500"/>
        <a:ext cx="9525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57150</xdr:rowOff>
    </xdr:from>
    <xdr:to>
      <xdr:col>17</xdr:col>
      <xdr:colOff>9525</xdr:colOff>
      <xdr:row>30</xdr:row>
      <xdr:rowOff>114300</xdr:rowOff>
    </xdr:to>
    <xdr:graphicFrame macro="">
      <xdr:nvGraphicFramePr>
        <xdr:cNvPr id="3" name="Chart 2"/>
        <xdr:cNvGraphicFramePr/>
      </xdr:nvGraphicFramePr>
      <xdr:xfrm>
        <a:off x="1009650" y="409575"/>
        <a:ext cx="9525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02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Czechia, Germany, Hungary and Switzerland.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114300</xdr:rowOff>
    </xdr:from>
    <xdr:to>
      <xdr:col>16</xdr:col>
      <xdr:colOff>266700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800100" y="600075"/>
        <a:ext cx="9525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avia_eq_arc_typ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3</xdr:row>
      <xdr:rowOff>28575</xdr:rowOff>
    </xdr:from>
    <xdr:ext cx="4924425" cy="5238750"/>
    <xdr:graphicFrame macro="">
      <xdr:nvGraphicFramePr>
        <xdr:cNvPr id="2" name="Chart 2"/>
        <xdr:cNvGraphicFramePr/>
      </xdr:nvGraphicFramePr>
      <xdr:xfrm>
        <a:off x="809625" y="514350"/>
        <a:ext cx="49244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47625</xdr:rowOff>
    </xdr:from>
    <xdr:to>
      <xdr:col>7</xdr:col>
      <xdr:colOff>142875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276225" y="695325"/>
        <a:ext cx="49149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7</xdr:row>
      <xdr:rowOff>66675</xdr:rowOff>
    </xdr:from>
    <xdr:to>
      <xdr:col>23</xdr:col>
      <xdr:colOff>209550</xdr:colOff>
      <xdr:row>47</xdr:row>
      <xdr:rowOff>28575</xdr:rowOff>
    </xdr:to>
    <xdr:grpSp>
      <xdr:nvGrpSpPr>
        <xdr:cNvPr id="2" name="Group 1"/>
        <xdr:cNvGrpSpPr/>
      </xdr:nvGrpSpPr>
      <xdr:grpSpPr>
        <a:xfrm>
          <a:off x="5010150" y="1200150"/>
          <a:ext cx="10296525" cy="6486525"/>
          <a:chOff x="4631298" y="516304"/>
          <a:chExt cx="8838022" cy="5344236"/>
        </a:xfrm>
      </xdr:grpSpPr>
      <xdr:graphicFrame macro="">
        <xdr:nvGraphicFramePr>
          <xdr:cNvPr id="3" name="Chart 2"/>
          <xdr:cNvGraphicFramePr/>
        </xdr:nvGraphicFramePr>
        <xdr:xfrm>
          <a:off x="4631298" y="526992"/>
          <a:ext cx="3097727" cy="53335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766586" y="516304"/>
          <a:ext cx="5702734" cy="533488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5" name="Straight Connector 4"/>
          <xdr:cNvCxnSpPr/>
        </xdr:nvCxnSpPr>
        <xdr:spPr bwMode="auto">
          <a:xfrm flipV="1">
            <a:off x="7773215" y="611164"/>
            <a:ext cx="397711" cy="3157107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20</xdr:col>
      <xdr:colOff>0</xdr:colOff>
      <xdr:row>52</xdr:row>
      <xdr:rowOff>0</xdr:rowOff>
    </xdr:from>
    <xdr:to>
      <xdr:col>22</xdr:col>
      <xdr:colOff>152400</xdr:colOff>
      <xdr:row>54</xdr:row>
      <xdr:rowOff>38100</xdr:rowOff>
    </xdr:to>
    <xdr:pic>
      <xdr:nvPicPr>
        <xdr:cNvPr id="12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3239750" y="8467725"/>
          <a:ext cx="1390650" cy="361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151</xdr:row>
      <xdr:rowOff>123825</xdr:rowOff>
    </xdr:from>
    <xdr:to>
      <xdr:col>15</xdr:col>
      <xdr:colOff>228600</xdr:colOff>
      <xdr:row>205</xdr:row>
      <xdr:rowOff>19050</xdr:rowOff>
    </xdr:to>
    <xdr:graphicFrame macro="">
      <xdr:nvGraphicFramePr>
        <xdr:cNvPr id="6" name="Chart 5"/>
        <xdr:cNvGraphicFramePr/>
      </xdr:nvGraphicFramePr>
      <xdr:xfrm>
        <a:off x="28575" y="24622125"/>
        <a:ext cx="10344150" cy="1015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25" name="FootonotesShape"/>
        <cdr:cNvSpPr txBox="1"/>
      </cdr:nvSpPr>
      <cdr:spPr>
        <a:xfrm>
          <a:off x="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petroleum products. </a:t>
          </a:r>
        </a:p>
        <a:p>
          <a:r>
            <a:rPr lang="en-GB" sz="1200">
              <a:latin typeface="Arial" panose="020B0604020202020204" pitchFamily="34" charset="0"/>
            </a:rPr>
            <a:t>Note: Bulgaria, Greece, Poland, Slovakia and Serbia: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(²) 2019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</xdr:row>
      <xdr:rowOff>95250</xdr:rowOff>
    </xdr:from>
    <xdr:to>
      <xdr:col>16</xdr:col>
      <xdr:colOff>104775</xdr:colOff>
      <xdr:row>60</xdr:row>
      <xdr:rowOff>28575</xdr:rowOff>
    </xdr:to>
    <xdr:graphicFrame macro="">
      <xdr:nvGraphicFramePr>
        <xdr:cNvPr id="2" name="Chart 1"/>
        <xdr:cNvGraphicFramePr/>
      </xdr:nvGraphicFramePr>
      <xdr:xfrm>
        <a:off x="723900" y="581025"/>
        <a:ext cx="9525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0.7955</cdr:y>
    </cdr:from>
    <cdr:to>
      <cdr:x>0</cdr:x>
      <cdr:y>0</cdr:y>
    </cdr:to>
    <cdr:sp macro="" textlink="">
      <cdr:nvSpPr>
        <cdr:cNvPr id="42" name="FootonotesShape"/>
        <cdr:cNvSpPr txBox="1"/>
      </cdr:nvSpPr>
      <cdr:spPr>
        <a:xfrm>
          <a:off x="0" y="7648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2022. </a:t>
          </a:r>
        </a:p>
        <a:p>
          <a:r>
            <a:rPr lang="en-GB" sz="1200">
              <a:latin typeface="Arial" panose="020B0604020202020204" pitchFamily="34" charset="0"/>
            </a:rPr>
            <a:t>Note: Data not available for Greece, Albania and Serbia.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2013-2021: data only for road tractors.</a:t>
          </a:r>
        </a:p>
        <a:p>
          <a:r>
            <a:rPr lang="en-GB" sz="1200">
              <a:latin typeface="Arial" panose="020B0604020202020204" pitchFamily="34" charset="0"/>
            </a:rPr>
            <a:t>(²) Data only for road tractors.</a:t>
          </a:r>
        </a:p>
        <a:p>
          <a:r>
            <a:rPr lang="en-GB" sz="1200">
              <a:latin typeface="Arial" panose="020B0604020202020204" pitchFamily="34" charset="0"/>
            </a:rPr>
            <a:t>(³) Data only for lorries.</a:t>
          </a:r>
        </a:p>
        <a:p>
          <a:r>
            <a:rPr lang="en-GB" sz="1200">
              <a:latin typeface="Arial" panose="020B0604020202020204" pitchFamily="34" charset="0"/>
            </a:rPr>
            <a:t>(4) Data only for lorries &gt; 3.5 tonnes Maximum Permissible Laden Weight.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road_eqr_tracmot, road_eqr_lormot, road_eqs_lorroa, road_eqr_tracm, road_eqr_lorrin_h and road_eqs_lorroa_h)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1</xdr:row>
      <xdr:rowOff>0</xdr:rowOff>
    </xdr:from>
    <xdr:to>
      <xdr:col>32</xdr:col>
      <xdr:colOff>114300</xdr:colOff>
      <xdr:row>60</xdr:row>
      <xdr:rowOff>19050</xdr:rowOff>
    </xdr:to>
    <xdr:graphicFrame macro="">
      <xdr:nvGraphicFramePr>
        <xdr:cNvPr id="2" name="Chart 1"/>
        <xdr:cNvGraphicFramePr/>
      </xdr:nvGraphicFramePr>
      <xdr:xfrm>
        <a:off x="13144500" y="161925"/>
        <a:ext cx="9534525" cy="962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0.8155</cdr:y>
    </cdr:from>
    <cdr:to>
      <cdr:x>0</cdr:x>
      <cdr:y>0</cdr:y>
    </cdr:to>
    <cdr:sp macro="" textlink="">
      <cdr:nvSpPr>
        <cdr:cNvPr id="16" name="FootonotesShape"/>
        <cdr:cNvSpPr txBox="1"/>
      </cdr:nvSpPr>
      <cdr:spPr>
        <a:xfrm>
          <a:off x="0" y="7781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2022. </a:t>
          </a:r>
        </a:p>
        <a:p>
          <a:r>
            <a:rPr lang="en-GB" sz="1200">
              <a:latin typeface="Arial" panose="020B0604020202020204" pitchFamily="34" charset="0"/>
            </a:rPr>
            <a:t>Note: (:) not available.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2022 rate: 1st January 2022 population data used.</a:t>
          </a:r>
        </a:p>
        <a:p>
          <a:r>
            <a:rPr lang="en-GB" sz="1200">
              <a:latin typeface="Arial" panose="020B0604020202020204" pitchFamily="34" charset="0"/>
            </a:rPr>
            <a:t>(²) 2017-2021 rates: 1st January 2012 population data used.</a:t>
          </a:r>
        </a:p>
        <a:p>
          <a:r>
            <a:rPr lang="en-GB" sz="1200">
              <a:latin typeface="Arial" panose="020B0604020202020204" pitchFamily="34" charset="0"/>
            </a:rPr>
            <a:t>(³) 2015 rate: 1st January 2015 population data used. 2017-2019 rates: 1st January 2017 population data used.</a:t>
          </a:r>
        </a:p>
        <a:p>
          <a:r>
            <a:rPr lang="en-GB" sz="1200">
              <a:latin typeface="Arial" panose="020B0604020202020204" pitchFamily="34" charset="0"/>
            </a:rPr>
            <a:t>    2021 and 2022 rates: 1st January 2021 population data used.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road_eqs_lorroa_h, road_eqs_lorroa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2</xdr:row>
      <xdr:rowOff>9525</xdr:rowOff>
    </xdr:from>
    <xdr:to>
      <xdr:col>33</xdr:col>
      <xdr:colOff>161925</xdr:colOff>
      <xdr:row>60</xdr:row>
      <xdr:rowOff>66675</xdr:rowOff>
    </xdr:to>
    <xdr:graphicFrame macro="">
      <xdr:nvGraphicFramePr>
        <xdr:cNvPr id="2" name="Chart 1"/>
        <xdr:cNvGraphicFramePr/>
      </xdr:nvGraphicFramePr>
      <xdr:xfrm>
        <a:off x="10391775" y="333375"/>
        <a:ext cx="9525000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0.91575</cdr:y>
    </cdr:from>
    <cdr:to>
      <cdr:x>0</cdr:x>
      <cdr:y>0</cdr:y>
    </cdr:to>
    <cdr:sp macro="" textlink="">
      <cdr:nvSpPr>
        <cdr:cNvPr id="15" name="FootonotesShape"/>
        <cdr:cNvSpPr txBox="1"/>
      </cdr:nvSpPr>
      <cdr:spPr>
        <a:xfrm>
          <a:off x="0" y="2924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53"/>
  <sheetViews>
    <sheetView showGridLines="0" tabSelected="1" workbookViewId="0" topLeftCell="A1">
      <selection activeCell="B2" sqref="B2:I55"/>
    </sheetView>
  </sheetViews>
  <sheetFormatPr defaultColWidth="9.28125" defaultRowHeight="15"/>
  <cols>
    <col min="1" max="1" width="9.28125" style="3" customWidth="1"/>
    <col min="2" max="2" width="22.421875" style="3" customWidth="1"/>
    <col min="3" max="8" width="10.7109375" style="3" customWidth="1"/>
    <col min="9" max="10" width="9.28125" style="3" customWidth="1"/>
    <col min="11" max="11" width="7.7109375" style="3" customWidth="1"/>
    <col min="12" max="16384" width="9.28125" style="3" customWidth="1"/>
  </cols>
  <sheetData>
    <row r="1" ht="15">
      <c r="A1" s="3" t="s">
        <v>142</v>
      </c>
    </row>
    <row r="2" spans="2:8" ht="13">
      <c r="B2" s="98" t="s">
        <v>225</v>
      </c>
      <c r="C2" s="69"/>
      <c r="D2" s="69"/>
      <c r="E2" s="69"/>
      <c r="F2" s="69"/>
      <c r="G2" s="69"/>
      <c r="H2" s="69"/>
    </row>
    <row r="3" spans="2:8" ht="15">
      <c r="B3" s="208" t="s">
        <v>11</v>
      </c>
      <c r="C3" s="69"/>
      <c r="D3" s="69"/>
      <c r="E3" s="69"/>
      <c r="F3" s="69"/>
      <c r="G3" s="69"/>
      <c r="H3" s="69"/>
    </row>
    <row r="5" spans="2:8" ht="13">
      <c r="B5" s="221"/>
      <c r="C5" s="220"/>
      <c r="D5" s="222" t="s">
        <v>0</v>
      </c>
      <c r="E5" s="222"/>
      <c r="F5" s="220"/>
      <c r="G5" s="222" t="s">
        <v>12</v>
      </c>
      <c r="H5" s="222"/>
    </row>
    <row r="6" spans="2:8" ht="13">
      <c r="B6" s="5"/>
      <c r="C6" s="6">
        <v>2005</v>
      </c>
      <c r="D6" s="7">
        <v>2012</v>
      </c>
      <c r="E6" s="7">
        <v>2022</v>
      </c>
      <c r="F6" s="6">
        <v>2005</v>
      </c>
      <c r="G6" s="7">
        <v>2012</v>
      </c>
      <c r="H6" s="7">
        <v>2022</v>
      </c>
    </row>
    <row r="7" spans="2:8" ht="13.15" customHeight="1">
      <c r="B7" s="8" t="s">
        <v>213</v>
      </c>
      <c r="C7" s="9">
        <v>49.60526315789473</v>
      </c>
      <c r="D7" s="10" t="s">
        <v>13</v>
      </c>
      <c r="E7" s="10">
        <f>ROUND(330*100/599,1)</f>
        <v>55.1</v>
      </c>
      <c r="F7" s="9">
        <v>50.39473684210526</v>
      </c>
      <c r="G7" s="10" t="s">
        <v>13</v>
      </c>
      <c r="H7" s="10">
        <f>ROUND(269*100/599,1)</f>
        <v>44.9</v>
      </c>
    </row>
    <row r="8" spans="2:8" ht="13">
      <c r="B8" s="11" t="s">
        <v>1</v>
      </c>
      <c r="C8" s="12" t="s">
        <v>13</v>
      </c>
      <c r="D8" s="13">
        <f>ROUND(200*100/439,1)</f>
        <v>45.6</v>
      </c>
      <c r="E8" s="13" t="s">
        <v>13</v>
      </c>
      <c r="F8" s="12" t="s">
        <v>13</v>
      </c>
      <c r="G8" s="13">
        <f>ROUND(234*100/439,1)</f>
        <v>53.3</v>
      </c>
      <c r="H8" s="13" t="s">
        <v>13</v>
      </c>
    </row>
    <row r="9" spans="2:8" ht="13">
      <c r="B9" s="11" t="s">
        <v>56</v>
      </c>
      <c r="C9" s="12">
        <v>59.148936170212764</v>
      </c>
      <c r="D9" s="13">
        <f>ROUND(1192*100/2088,1)</f>
        <v>57.1</v>
      </c>
      <c r="E9" s="13">
        <v>53.48943985307621</v>
      </c>
      <c r="F9" s="12">
        <v>39.702127659574465</v>
      </c>
      <c r="G9" s="13">
        <f>ROUND(864*100/2088,1)</f>
        <v>41.4</v>
      </c>
      <c r="H9" s="13">
        <v>44.995408631772264</v>
      </c>
    </row>
    <row r="10" spans="2:8" ht="13">
      <c r="B10" s="11" t="s">
        <v>24</v>
      </c>
      <c r="C10" s="12">
        <v>80.9</v>
      </c>
      <c r="D10" s="13">
        <f>ROUND(94*100/130,1)</f>
        <v>72.3</v>
      </c>
      <c r="E10" s="13">
        <v>39.49579831932773</v>
      </c>
      <c r="F10" s="12">
        <v>19.1</v>
      </c>
      <c r="G10" s="13">
        <f>ROUND(36*100/130,1)</f>
        <v>27.7</v>
      </c>
      <c r="H10" s="13">
        <v>60.50420168067227</v>
      </c>
    </row>
    <row r="11" spans="2:8" ht="13">
      <c r="B11" s="11" t="s">
        <v>57</v>
      </c>
      <c r="C11" s="12" t="s">
        <v>13</v>
      </c>
      <c r="D11" s="13" t="s">
        <v>13</v>
      </c>
      <c r="E11" s="13" t="s">
        <v>13</v>
      </c>
      <c r="F11" s="12" t="s">
        <v>13</v>
      </c>
      <c r="G11" s="13" t="s">
        <v>13</v>
      </c>
      <c r="H11" s="13" t="s">
        <v>13</v>
      </c>
    </row>
    <row r="12" spans="2:8" ht="13">
      <c r="B12" s="11" t="s">
        <v>3</v>
      </c>
      <c r="C12" s="12">
        <v>100</v>
      </c>
      <c r="D12" s="13">
        <v>100</v>
      </c>
      <c r="E12" s="13">
        <v>100</v>
      </c>
      <c r="F12" s="12" t="s">
        <v>59</v>
      </c>
      <c r="G12" s="13" t="s">
        <v>59</v>
      </c>
      <c r="H12" s="13" t="s">
        <v>59</v>
      </c>
    </row>
    <row r="13" spans="2:8" ht="13">
      <c r="B13" s="11" t="s">
        <v>25</v>
      </c>
      <c r="C13" s="12" t="s">
        <v>13</v>
      </c>
      <c r="D13" s="13" t="s">
        <v>13</v>
      </c>
      <c r="E13" s="13" t="s">
        <v>13</v>
      </c>
      <c r="F13" s="12" t="s">
        <v>13</v>
      </c>
      <c r="G13" s="13" t="s">
        <v>13</v>
      </c>
      <c r="H13" s="13" t="s">
        <v>13</v>
      </c>
    </row>
    <row r="14" spans="2:8" ht="13">
      <c r="B14" s="11" t="s">
        <v>26</v>
      </c>
      <c r="C14" s="12">
        <v>88.75739644970415</v>
      </c>
      <c r="D14" s="13">
        <f>ROUND(143*100/178,1)</f>
        <v>80.3</v>
      </c>
      <c r="E14" s="13">
        <v>72</v>
      </c>
      <c r="F14" s="12">
        <v>8.284023668639055</v>
      </c>
      <c r="G14" s="13">
        <f>ROUND(30*100/178,1)</f>
        <v>16.9</v>
      </c>
      <c r="H14" s="13">
        <v>28.000000000000004</v>
      </c>
    </row>
    <row r="15" spans="2:8" ht="13">
      <c r="B15" s="11" t="s">
        <v>27</v>
      </c>
      <c r="C15" s="12">
        <v>47.48110831234257</v>
      </c>
      <c r="D15" s="13"/>
      <c r="E15" s="13">
        <v>45.719844357976655</v>
      </c>
      <c r="F15" s="12">
        <v>52.51889168765743</v>
      </c>
      <c r="G15" s="13"/>
      <c r="H15" s="13">
        <v>54.280155642023345</v>
      </c>
    </row>
    <row r="16" spans="2:8" ht="13">
      <c r="B16" s="11" t="s">
        <v>4</v>
      </c>
      <c r="C16" s="12">
        <v>60.38426349496798</v>
      </c>
      <c r="D16" s="13">
        <f>ROUND(1874*100/3554,1)</f>
        <v>52.7</v>
      </c>
      <c r="E16" s="13">
        <v>63.791267305644304</v>
      </c>
      <c r="F16" s="12">
        <v>39.615736505032025</v>
      </c>
      <c r="G16" s="13">
        <f>ROUND(1680*100/3554,1)</f>
        <v>47.3</v>
      </c>
      <c r="H16" s="13">
        <v>36.2087326943557</v>
      </c>
    </row>
    <row r="17" spans="2:8" ht="13">
      <c r="B17" s="11" t="s">
        <v>5</v>
      </c>
      <c r="C17" s="12">
        <v>61.51079136690647</v>
      </c>
      <c r="D17" s="13">
        <f>ROUND(159*100/266,1)</f>
        <v>59.8</v>
      </c>
      <c r="E17" s="13">
        <v>47.24409448818898</v>
      </c>
      <c r="F17" s="12">
        <v>38.489208633093526</v>
      </c>
      <c r="G17" s="13">
        <f>ROUND(107*100/266,1)</f>
        <v>40.2</v>
      </c>
      <c r="H17" s="13">
        <v>52.75590551181102</v>
      </c>
    </row>
    <row r="18" spans="2:8" ht="13.15" customHeight="1">
      <c r="B18" s="11" t="s">
        <v>214</v>
      </c>
      <c r="C18" s="12">
        <v>43.47695088882194</v>
      </c>
      <c r="D18" s="13">
        <f>ROUND(813*100/2341,1)</f>
        <v>34.7</v>
      </c>
      <c r="E18" s="13" t="s">
        <v>13</v>
      </c>
      <c r="F18" s="12">
        <v>55.860198855076824</v>
      </c>
      <c r="G18" s="13">
        <f>ROUND(1528*100/2341,1)</f>
        <v>65.3</v>
      </c>
      <c r="H18" s="13">
        <f>ROUND(1999*100/2508,1)</f>
        <v>79.7</v>
      </c>
    </row>
    <row r="19" spans="2:8" ht="13">
      <c r="B19" s="11" t="s">
        <v>29</v>
      </c>
      <c r="C19" s="12">
        <v>100</v>
      </c>
      <c r="D19" s="13">
        <v>100</v>
      </c>
      <c r="E19" s="13">
        <v>100</v>
      </c>
      <c r="F19" s="12" t="s">
        <v>59</v>
      </c>
      <c r="G19" s="13" t="s">
        <v>59</v>
      </c>
      <c r="H19" s="13" t="s">
        <v>59</v>
      </c>
    </row>
    <row r="20" spans="2:8" ht="13">
      <c r="B20" s="11" t="s">
        <v>30</v>
      </c>
      <c r="C20" s="12">
        <v>100</v>
      </c>
      <c r="D20" s="13">
        <v>100</v>
      </c>
      <c r="E20" s="13">
        <v>100</v>
      </c>
      <c r="F20" s="12" t="s">
        <v>59</v>
      </c>
      <c r="G20" s="13" t="s">
        <v>59</v>
      </c>
      <c r="H20" s="13" t="s">
        <v>59</v>
      </c>
    </row>
    <row r="21" spans="2:8" ht="13">
      <c r="B21" s="11" t="s">
        <v>31</v>
      </c>
      <c r="C21" s="12" t="s">
        <v>13</v>
      </c>
      <c r="D21" s="13">
        <f>ROUND(59*100/98,1)</f>
        <v>60.2</v>
      </c>
      <c r="E21" s="13">
        <v>43.28358208955223</v>
      </c>
      <c r="F21" s="12" t="s">
        <v>13</v>
      </c>
      <c r="G21" s="13">
        <f>ROUND(39*100/98,1)</f>
        <v>39.8</v>
      </c>
      <c r="H21" s="13">
        <v>56.71641791044776</v>
      </c>
    </row>
    <row r="22" spans="2:8" ht="13">
      <c r="B22" s="11" t="s">
        <v>6</v>
      </c>
      <c r="C22" s="12">
        <v>51.787439613526566</v>
      </c>
      <c r="D22" s="13">
        <f>ROUND(595*100/1163,1)</f>
        <v>51.2</v>
      </c>
      <c r="E22" s="13">
        <v>48.68421052631579</v>
      </c>
      <c r="F22" s="12">
        <v>46.95652173913044</v>
      </c>
      <c r="G22" s="13">
        <f>ROUND(540*100/1163,1)</f>
        <v>46.4</v>
      </c>
      <c r="H22" s="13">
        <v>51.31578947368421</v>
      </c>
    </row>
    <row r="23" spans="2:8" ht="13">
      <c r="B23" s="11" t="s">
        <v>32</v>
      </c>
      <c r="C23" s="12">
        <v>90.54545454545455</v>
      </c>
      <c r="D23" s="13" t="s">
        <v>13</v>
      </c>
      <c r="E23" s="13" t="s">
        <v>13</v>
      </c>
      <c r="F23" s="12">
        <v>9.454545454545455</v>
      </c>
      <c r="G23" s="13" t="s">
        <v>13</v>
      </c>
      <c r="H23" s="13" t="s">
        <v>13</v>
      </c>
    </row>
    <row r="24" spans="2:8" ht="13">
      <c r="B24" s="11" t="s">
        <v>33</v>
      </c>
      <c r="C24" s="12" t="s">
        <v>13</v>
      </c>
      <c r="D24" s="13">
        <f>ROUND(542*100/1479,1)</f>
        <v>36.6</v>
      </c>
      <c r="E24" s="13">
        <v>27.174813587406792</v>
      </c>
      <c r="F24" s="12" t="s">
        <v>13</v>
      </c>
      <c r="G24" s="13">
        <f>ROUND(919*100/1479,1)</f>
        <v>62.1</v>
      </c>
      <c r="H24" s="13">
        <v>71.00248550124275</v>
      </c>
    </row>
    <row r="25" spans="2:8" ht="13">
      <c r="B25" s="11" t="s">
        <v>7</v>
      </c>
      <c r="C25" s="12">
        <v>57.324840764331206</v>
      </c>
      <c r="D25" s="13">
        <f>ROUND(2264*100/4113,1)</f>
        <v>55</v>
      </c>
      <c r="E25" s="13">
        <v>50.09299442033478</v>
      </c>
      <c r="F25" s="12">
        <v>42.22020018198362</v>
      </c>
      <c r="G25" s="13">
        <f>ROUND(1849*100/4113,1)</f>
        <v>45</v>
      </c>
      <c r="H25" s="13">
        <v>49.90700557966522</v>
      </c>
    </row>
    <row r="26" spans="2:8" ht="13">
      <c r="B26" s="11" t="s">
        <v>34</v>
      </c>
      <c r="C26" s="12" t="s">
        <v>13</v>
      </c>
      <c r="D26" s="13" t="s">
        <v>13</v>
      </c>
      <c r="E26" s="13">
        <v>47.368421052631575</v>
      </c>
      <c r="F26" s="12" t="s">
        <v>13</v>
      </c>
      <c r="G26" s="13" t="s">
        <v>13</v>
      </c>
      <c r="H26" s="13">
        <v>52.63157894736842</v>
      </c>
    </row>
    <row r="27" spans="2:8" ht="13">
      <c r="B27" s="11" t="s">
        <v>8</v>
      </c>
      <c r="C27" s="12">
        <v>60.60164968461912</v>
      </c>
      <c r="D27" s="13">
        <f>ROUND(1014*100/1796,1)</f>
        <v>56.5</v>
      </c>
      <c r="E27" s="13">
        <v>58.79095523765574</v>
      </c>
      <c r="F27" s="12">
        <v>37.65162542455119</v>
      </c>
      <c r="G27" s="13">
        <f>ROUND(679*100/1796,1)</f>
        <v>37.8</v>
      </c>
      <c r="H27" s="13">
        <v>41.16289801568989</v>
      </c>
    </row>
    <row r="28" spans="2:8" ht="13">
      <c r="B28" s="11" t="s">
        <v>35</v>
      </c>
      <c r="C28" s="12">
        <v>51.31578947368421</v>
      </c>
      <c r="D28" s="13">
        <f>ROUND(74*100/156,1)</f>
        <v>47.4</v>
      </c>
      <c r="E28" s="13">
        <v>46.794871794871796</v>
      </c>
      <c r="F28" s="12">
        <v>46.71052631578947</v>
      </c>
      <c r="G28" s="13">
        <f>ROUND(78*100/156,1)</f>
        <v>50</v>
      </c>
      <c r="H28" s="13">
        <v>50.641025641025635</v>
      </c>
    </row>
    <row r="29" spans="2:8" ht="13">
      <c r="B29" s="11" t="s">
        <v>9</v>
      </c>
      <c r="C29" s="12">
        <v>57.367933271547734</v>
      </c>
      <c r="D29" s="13">
        <f>ROUND(488*100/973,1)</f>
        <v>50.2</v>
      </c>
      <c r="E29" s="13">
        <v>48.8399071925754</v>
      </c>
      <c r="F29" s="12">
        <v>42.63206672845227</v>
      </c>
      <c r="G29" s="13">
        <f>ROUND(485*100/973,1)</f>
        <v>49.8</v>
      </c>
      <c r="H29" s="13">
        <v>51.1600928074246</v>
      </c>
    </row>
    <row r="30" spans="2:8" ht="13">
      <c r="B30" s="14" t="s">
        <v>10</v>
      </c>
      <c r="C30" s="15">
        <v>71.37614678899082</v>
      </c>
      <c r="D30" s="13">
        <f>ROUND(224*100/469,1)</f>
        <v>47.8</v>
      </c>
      <c r="E30" s="16" t="s">
        <v>13</v>
      </c>
      <c r="F30" s="15">
        <v>28.623853211009177</v>
      </c>
      <c r="G30" s="13">
        <f>ROUND(155*100/469,1)</f>
        <v>33</v>
      </c>
      <c r="H30" s="16" t="s">
        <v>13</v>
      </c>
    </row>
    <row r="31" spans="2:8" ht="13">
      <c r="B31" s="17" t="s">
        <v>36</v>
      </c>
      <c r="C31" s="18">
        <v>33.33333333333333</v>
      </c>
      <c r="D31" s="18">
        <f>ROUND(219*100/674,1)</f>
        <v>32.5</v>
      </c>
      <c r="E31" s="19">
        <v>27.24458204334365</v>
      </c>
      <c r="F31" s="18">
        <v>66.66666666666666</v>
      </c>
      <c r="G31" s="18">
        <f>ROUND(455*100/674,1)</f>
        <v>67.5</v>
      </c>
      <c r="H31" s="19">
        <v>72.75541795665634</v>
      </c>
    </row>
    <row r="32" spans="2:8" ht="13">
      <c r="B32" s="4" t="s">
        <v>37</v>
      </c>
      <c r="C32" s="20" t="s">
        <v>13</v>
      </c>
      <c r="D32" s="21" t="s">
        <v>13</v>
      </c>
      <c r="E32" s="21" t="s">
        <v>13</v>
      </c>
      <c r="F32" s="20" t="s">
        <v>13</v>
      </c>
      <c r="G32" s="21" t="s">
        <v>13</v>
      </c>
      <c r="H32" s="21" t="s">
        <v>13</v>
      </c>
    </row>
    <row r="33" spans="2:8" ht="13">
      <c r="B33" s="17" t="s">
        <v>38</v>
      </c>
      <c r="C33" s="18" t="s">
        <v>13</v>
      </c>
      <c r="D33" s="19" t="s">
        <v>13</v>
      </c>
      <c r="E33" s="19" t="s">
        <v>13</v>
      </c>
      <c r="F33" s="18" t="s">
        <v>13</v>
      </c>
      <c r="G33" s="19" t="s">
        <v>13</v>
      </c>
      <c r="H33" s="19" t="s">
        <v>13</v>
      </c>
    </row>
    <row r="34" spans="2:8" ht="13">
      <c r="B34" s="4" t="s">
        <v>78</v>
      </c>
      <c r="C34" s="20" t="s">
        <v>13</v>
      </c>
      <c r="D34" s="21">
        <f>ROUND(93*100/168,1)</f>
        <v>55.4</v>
      </c>
      <c r="E34" s="21">
        <v>55.35714285714286</v>
      </c>
      <c r="F34" s="20" t="s">
        <v>13</v>
      </c>
      <c r="G34" s="21">
        <f>ROUND(75*100/168,1)</f>
        <v>44.6</v>
      </c>
      <c r="H34" s="21">
        <v>44.642857142857146</v>
      </c>
    </row>
    <row r="35" spans="2:8" ht="13.15" customHeight="1">
      <c r="B35" s="14" t="s">
        <v>216</v>
      </c>
      <c r="C35" s="12" t="s">
        <v>13</v>
      </c>
      <c r="D35" s="13" t="s">
        <v>13</v>
      </c>
      <c r="E35" s="13">
        <v>46.666666666666664</v>
      </c>
      <c r="F35" s="12" t="s">
        <v>13</v>
      </c>
      <c r="G35" s="13" t="s">
        <v>13</v>
      </c>
      <c r="H35" s="13">
        <v>53.333333333333336</v>
      </c>
    </row>
    <row r="36" spans="2:8" ht="13">
      <c r="B36" s="14" t="s">
        <v>153</v>
      </c>
      <c r="C36" s="12" t="s">
        <v>13</v>
      </c>
      <c r="D36" s="13">
        <v>100</v>
      </c>
      <c r="E36" s="13">
        <v>100</v>
      </c>
      <c r="F36" s="12" t="s">
        <v>13</v>
      </c>
      <c r="G36" s="13" t="s">
        <v>59</v>
      </c>
      <c r="H36" s="13" t="s">
        <v>59</v>
      </c>
    </row>
    <row r="37" spans="2:8" ht="13">
      <c r="B37" s="14" t="s">
        <v>58</v>
      </c>
      <c r="C37" s="12">
        <v>71.42857142857143</v>
      </c>
      <c r="D37" s="13">
        <v>69.81132075471697</v>
      </c>
      <c r="E37" s="13">
        <v>57.446808510638306</v>
      </c>
      <c r="F37" s="12">
        <v>28.57142857142857</v>
      </c>
      <c r="G37" s="13">
        <v>30.18867924528302</v>
      </c>
      <c r="H37" s="13">
        <v>42.5531914893617</v>
      </c>
    </row>
    <row r="38" spans="2:8" ht="13">
      <c r="B38" s="11" t="s">
        <v>154</v>
      </c>
      <c r="C38" s="12" t="s">
        <v>13</v>
      </c>
      <c r="D38" s="13" t="s">
        <v>13</v>
      </c>
      <c r="E38" s="13">
        <v>41.05263157894737</v>
      </c>
      <c r="F38" s="12" t="s">
        <v>13</v>
      </c>
      <c r="G38" s="13" t="s">
        <v>13</v>
      </c>
      <c r="H38" s="13">
        <v>58.94736842105262</v>
      </c>
    </row>
    <row r="39" spans="2:8" ht="13">
      <c r="B39" s="226" t="s">
        <v>77</v>
      </c>
      <c r="C39" s="29" t="s">
        <v>13</v>
      </c>
      <c r="D39" s="30" t="s">
        <v>13</v>
      </c>
      <c r="E39" s="30">
        <v>100</v>
      </c>
      <c r="F39" s="29" t="s">
        <v>13</v>
      </c>
      <c r="G39" s="30" t="s">
        <v>13</v>
      </c>
      <c r="H39" s="30" t="s">
        <v>59</v>
      </c>
    </row>
    <row r="40" spans="2:8" ht="13.15" customHeight="1">
      <c r="B40" s="14" t="s">
        <v>258</v>
      </c>
      <c r="C40" s="12" t="s">
        <v>13</v>
      </c>
      <c r="D40" s="13">
        <v>56.932153392330385</v>
      </c>
      <c r="E40" s="13">
        <v>44.71544715447154</v>
      </c>
      <c r="F40" s="12" t="s">
        <v>13</v>
      </c>
      <c r="G40" s="13">
        <v>42.18289085545723</v>
      </c>
      <c r="H40" s="13">
        <v>52.84552845528455</v>
      </c>
    </row>
    <row r="41" spans="2:8" ht="13.15" customHeight="1">
      <c r="B41" s="14" t="s">
        <v>259</v>
      </c>
      <c r="C41" s="12">
        <v>88.16666666666667</v>
      </c>
      <c r="D41" s="13">
        <f>ROUND(542*100/587,1)</f>
        <v>92.3</v>
      </c>
      <c r="E41" s="13">
        <v>81.88405797101449</v>
      </c>
      <c r="F41" s="12">
        <v>11.833333333333334</v>
      </c>
      <c r="G41" s="13">
        <f>ROUND(45*100/587,1)</f>
        <v>7.7</v>
      </c>
      <c r="H41" s="13">
        <v>18.115942028985508</v>
      </c>
    </row>
    <row r="42" spans="2:8" ht="13.15" customHeight="1">
      <c r="B42" s="17" t="s">
        <v>260</v>
      </c>
      <c r="C42" s="18" t="s">
        <v>13</v>
      </c>
      <c r="D42" s="19" t="s">
        <v>13</v>
      </c>
      <c r="E42" s="19">
        <v>55.07085301472632</v>
      </c>
      <c r="F42" s="18" t="s">
        <v>13</v>
      </c>
      <c r="G42" s="19" t="s">
        <v>13</v>
      </c>
      <c r="H42" s="19">
        <v>44.317866073909414</v>
      </c>
    </row>
    <row r="43" spans="2:8" ht="13">
      <c r="B43" s="227" t="s">
        <v>215</v>
      </c>
      <c r="C43" s="228" t="s">
        <v>13</v>
      </c>
      <c r="D43" s="229" t="s">
        <v>13</v>
      </c>
      <c r="E43" s="229">
        <v>100</v>
      </c>
      <c r="F43" s="228" t="s">
        <v>13</v>
      </c>
      <c r="G43" s="229" t="s">
        <v>13</v>
      </c>
      <c r="H43" s="229" t="s">
        <v>59</v>
      </c>
    </row>
    <row r="45" spans="2:8" ht="15" customHeight="1">
      <c r="B45" s="1" t="s">
        <v>60</v>
      </c>
      <c r="C45" s="1"/>
      <c r="D45" s="1"/>
      <c r="E45" s="1"/>
      <c r="F45" s="1"/>
      <c r="G45" s="1"/>
      <c r="H45" s="1"/>
    </row>
    <row r="46" spans="2:9" ht="15" customHeight="1">
      <c r="B46" s="208" t="s">
        <v>217</v>
      </c>
      <c r="C46" s="69"/>
      <c r="I46" s="22"/>
    </row>
    <row r="47" spans="2:9" ht="15" customHeight="1">
      <c r="B47" s="208" t="s">
        <v>218</v>
      </c>
      <c r="C47" s="69"/>
      <c r="I47" s="22"/>
    </row>
    <row r="48" spans="2:9" ht="15" customHeight="1">
      <c r="B48" s="208" t="s">
        <v>262</v>
      </c>
      <c r="C48" s="69"/>
      <c r="I48" s="22"/>
    </row>
    <row r="49" spans="2:9" ht="15" customHeight="1">
      <c r="B49" s="208" t="s">
        <v>261</v>
      </c>
      <c r="C49" s="69"/>
      <c r="I49" s="22"/>
    </row>
    <row r="50" spans="2:8" ht="15" customHeight="1">
      <c r="B50" s="1" t="s">
        <v>98</v>
      </c>
      <c r="C50" s="1"/>
      <c r="D50" s="1"/>
      <c r="E50" s="1"/>
      <c r="F50" s="1"/>
      <c r="G50" s="1"/>
      <c r="H50" s="1"/>
    </row>
    <row r="51" spans="2:8" ht="15" customHeight="1">
      <c r="B51" s="1" t="s">
        <v>246</v>
      </c>
      <c r="C51" s="1"/>
      <c r="D51" s="1"/>
      <c r="E51" s="1"/>
      <c r="F51" s="1"/>
      <c r="G51" s="1"/>
      <c r="H51" s="1"/>
    </row>
    <row r="52" spans="2:8" ht="15" customHeight="1">
      <c r="B52" s="1" t="s">
        <v>245</v>
      </c>
      <c r="C52" s="1"/>
      <c r="D52" s="1"/>
      <c r="E52" s="1"/>
      <c r="F52" s="1"/>
      <c r="G52" s="1"/>
      <c r="H52" s="1"/>
    </row>
    <row r="53" ht="15">
      <c r="B53" s="3" t="s">
        <v>90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2:X86"/>
  <sheetViews>
    <sheetView showGridLines="0" workbookViewId="0" topLeftCell="A1">
      <selection activeCell="B2" sqref="B2:L59"/>
    </sheetView>
  </sheetViews>
  <sheetFormatPr defaultColWidth="9.28125" defaultRowHeight="15"/>
  <cols>
    <col min="1" max="1" width="9.28125" style="3" customWidth="1"/>
    <col min="2" max="2" width="26.28125" style="3" customWidth="1"/>
    <col min="3" max="13" width="8.7109375" style="3" customWidth="1"/>
    <col min="14" max="16384" width="9.28125" style="3" customWidth="1"/>
  </cols>
  <sheetData>
    <row r="2" ht="13">
      <c r="B2" s="4" t="s">
        <v>191</v>
      </c>
    </row>
    <row r="3" ht="15">
      <c r="B3" s="1" t="s">
        <v>87</v>
      </c>
    </row>
    <row r="5" spans="2:13" ht="13">
      <c r="B5" s="84"/>
      <c r="C5" s="85">
        <v>2012</v>
      </c>
      <c r="D5" s="86">
        <v>2013</v>
      </c>
      <c r="E5" s="86">
        <v>2014</v>
      </c>
      <c r="F5" s="86">
        <v>2015</v>
      </c>
      <c r="G5" s="86">
        <v>2016</v>
      </c>
      <c r="H5" s="86">
        <v>2017</v>
      </c>
      <c r="I5" s="86">
        <v>2018</v>
      </c>
      <c r="J5" s="86">
        <v>2019</v>
      </c>
      <c r="K5" s="86">
        <v>2020</v>
      </c>
      <c r="L5" s="86">
        <v>2021</v>
      </c>
      <c r="M5" s="86">
        <v>2022</v>
      </c>
    </row>
    <row r="6" spans="2:24" ht="13">
      <c r="B6" s="70" t="s">
        <v>89</v>
      </c>
      <c r="C6" s="101">
        <v>3.305338272037585</v>
      </c>
      <c r="D6" s="102">
        <v>3.410476291700185</v>
      </c>
      <c r="E6" s="103">
        <v>3.5188658645939017</v>
      </c>
      <c r="F6" s="103">
        <v>3.6853789801652117</v>
      </c>
      <c r="G6" s="103">
        <v>3.9018690429828284</v>
      </c>
      <c r="H6" s="103">
        <v>4.114912121687527</v>
      </c>
      <c r="I6" s="103">
        <v>4.336405913897256</v>
      </c>
      <c r="J6" s="103">
        <v>4.4956840240486855</v>
      </c>
      <c r="K6" s="103">
        <v>4.567338703786064</v>
      </c>
      <c r="L6" s="103">
        <v>4.674177397818342</v>
      </c>
      <c r="M6" s="103">
        <f>ROUND(2163005*1000/451385792,1)</f>
        <v>4.8</v>
      </c>
      <c r="N6" s="22"/>
      <c r="O6" s="22"/>
      <c r="P6" s="67"/>
      <c r="R6" s="67"/>
      <c r="S6" s="67"/>
      <c r="T6" s="67"/>
      <c r="U6" s="67"/>
      <c r="V6" s="67"/>
      <c r="W6" s="67"/>
      <c r="X6" s="67"/>
    </row>
    <row r="7" spans="2:15" ht="13">
      <c r="B7" s="8" t="s">
        <v>23</v>
      </c>
      <c r="C7" s="104">
        <v>4.199507019858369</v>
      </c>
      <c r="D7" s="105">
        <v>4.02474232705235</v>
      </c>
      <c r="E7" s="105">
        <v>3.9772101312115375</v>
      </c>
      <c r="F7" s="105">
        <v>3.9652140456154776</v>
      </c>
      <c r="G7" s="105">
        <v>4.0301356789147595</v>
      </c>
      <c r="H7" s="105">
        <v>4.165252383430967</v>
      </c>
      <c r="I7" s="105">
        <v>4.3847860581436775</v>
      </c>
      <c r="J7" s="105">
        <v>4.57316332304616</v>
      </c>
      <c r="K7" s="105">
        <v>4.569715685309794</v>
      </c>
      <c r="L7" s="105">
        <v>4.639417202641194</v>
      </c>
      <c r="M7" s="105">
        <v>4.694960949347957</v>
      </c>
      <c r="N7" s="22"/>
      <c r="O7" s="22"/>
    </row>
    <row r="8" spans="2:15" ht="13">
      <c r="B8" s="11" t="s">
        <v>1</v>
      </c>
      <c r="C8" s="106">
        <v>4.841203686925428</v>
      </c>
      <c r="D8" s="107">
        <v>5.39977147753067</v>
      </c>
      <c r="E8" s="107">
        <v>5.926801790231259</v>
      </c>
      <c r="F8" s="107">
        <v>6.683036557995042</v>
      </c>
      <c r="G8" s="107">
        <v>7.274151739706463</v>
      </c>
      <c r="H8" s="107">
        <v>7.148334320089804</v>
      </c>
      <c r="I8" s="107">
        <v>7.30595929536964</v>
      </c>
      <c r="J8" s="107">
        <v>7.287654632494194</v>
      </c>
      <c r="K8" s="107">
        <v>7.142291212321522</v>
      </c>
      <c r="L8" s="107">
        <v>7.064986853951133</v>
      </c>
      <c r="M8" s="107">
        <v>7.1167988898496795</v>
      </c>
      <c r="N8" s="22"/>
      <c r="O8" s="22"/>
    </row>
    <row r="9" spans="2:15" ht="13">
      <c r="B9" s="11" t="s">
        <v>56</v>
      </c>
      <c r="C9" s="106">
        <v>0.8289174957505735</v>
      </c>
      <c r="D9" s="107">
        <v>0.7254277060303627</v>
      </c>
      <c r="E9" s="107">
        <v>0.6282811940284344</v>
      </c>
      <c r="F9" s="107">
        <v>0.5005759513382945</v>
      </c>
      <c r="G9" s="107">
        <v>0.4242439137824445</v>
      </c>
      <c r="H9" s="107">
        <v>0.3894419020448056</v>
      </c>
      <c r="I9" s="107">
        <v>0.4093973595748277</v>
      </c>
      <c r="J9" s="107">
        <v>0.37320205398590733</v>
      </c>
      <c r="K9" s="107">
        <v>0.35312605170771605</v>
      </c>
      <c r="L9" s="107">
        <v>0.3412665200238059</v>
      </c>
      <c r="M9" s="107">
        <v>0.3156726883747809</v>
      </c>
      <c r="N9" s="22"/>
      <c r="O9" s="22"/>
    </row>
    <row r="10" spans="2:15" ht="13">
      <c r="B10" s="11" t="s">
        <v>24</v>
      </c>
      <c r="C10" s="106">
        <v>2.2469812380904104</v>
      </c>
      <c r="D10" s="107">
        <v>2.2849587763795185</v>
      </c>
      <c r="E10" s="107">
        <v>2.2734360299060996</v>
      </c>
      <c r="F10" s="107">
        <v>2.300056542107575</v>
      </c>
      <c r="G10" s="107">
        <v>2.372681873284524</v>
      </c>
      <c r="H10" s="107">
        <v>2.444133474250111</v>
      </c>
      <c r="I10" s="107">
        <v>2.504098719945519</v>
      </c>
      <c r="J10" s="107">
        <v>2.5046528598192985</v>
      </c>
      <c r="K10" s="107">
        <v>2.5126518716893447</v>
      </c>
      <c r="L10" s="107">
        <v>2.6270894981118325</v>
      </c>
      <c r="M10" s="107">
        <v>2.6612815750954244</v>
      </c>
      <c r="N10" s="22"/>
      <c r="O10" s="22"/>
    </row>
    <row r="11" spans="2:16" ht="13">
      <c r="B11" s="11" t="s">
        <v>57</v>
      </c>
      <c r="C11" s="106">
        <v>2.270497947276323</v>
      </c>
      <c r="D11" s="107">
        <v>2.285437639659426</v>
      </c>
      <c r="E11" s="107">
        <v>2.321264991079717</v>
      </c>
      <c r="F11" s="107">
        <v>2.3654929358421892</v>
      </c>
      <c r="G11" s="107">
        <v>2.4476484977827577</v>
      </c>
      <c r="H11" s="107">
        <v>2.5478319851069333</v>
      </c>
      <c r="I11" s="107">
        <v>2.6313667897574504</v>
      </c>
      <c r="J11" s="107">
        <v>2.6350567115729753</v>
      </c>
      <c r="K11" s="107">
        <v>2.6272493362428064</v>
      </c>
      <c r="L11" s="107">
        <v>2.670431044686263</v>
      </c>
      <c r="M11" s="107">
        <v>2.6958344143750996</v>
      </c>
      <c r="N11" s="22"/>
      <c r="O11" s="22"/>
      <c r="P11" s="108"/>
    </row>
    <row r="12" spans="2:16" ht="13">
      <c r="B12" s="11" t="s">
        <v>3</v>
      </c>
      <c r="C12" s="106">
        <v>7.3210046554469335</v>
      </c>
      <c r="D12" s="107">
        <v>7.782985349808751</v>
      </c>
      <c r="E12" s="107">
        <v>8.048704434658939</v>
      </c>
      <c r="F12" s="107">
        <v>8.216915005501754</v>
      </c>
      <c r="G12" s="107">
        <v>8.63841414982119</v>
      </c>
      <c r="H12" s="107">
        <v>8.996060291115453</v>
      </c>
      <c r="I12" s="107">
        <v>9.206533717788076</v>
      </c>
      <c r="J12" s="107">
        <v>9.774442879329648</v>
      </c>
      <c r="K12" s="107">
        <v>9.716796434468012</v>
      </c>
      <c r="L12" s="107">
        <v>9.77927550465687</v>
      </c>
      <c r="M12" s="107">
        <v>9.483772252421424</v>
      </c>
      <c r="N12" s="22"/>
      <c r="O12" s="22"/>
      <c r="P12" s="108"/>
    </row>
    <row r="13" spans="2:15" ht="13">
      <c r="B13" s="11" t="s">
        <v>25</v>
      </c>
      <c r="C13" s="106">
        <v>1.830890374571102</v>
      </c>
      <c r="D13" s="107">
        <v>1.7471450145455267</v>
      </c>
      <c r="E13" s="107">
        <v>2.1421118015609197</v>
      </c>
      <c r="F13" s="107">
        <v>2.57051731528731</v>
      </c>
      <c r="G13" s="107">
        <v>2.732640760574561</v>
      </c>
      <c r="H13" s="107">
        <v>2.832689355232453</v>
      </c>
      <c r="I13" s="107">
        <v>2.92501998270884</v>
      </c>
      <c r="J13" s="107">
        <v>2.99469829426884</v>
      </c>
      <c r="K13" s="107">
        <v>3.0657224742146134</v>
      </c>
      <c r="L13" s="107">
        <v>3.174898675969426</v>
      </c>
      <c r="M13" s="107">
        <v>3.223052137801375</v>
      </c>
      <c r="N13" s="22"/>
      <c r="O13" s="22"/>
    </row>
    <row r="14" spans="2:16" ht="13">
      <c r="B14" s="11" t="s">
        <v>26</v>
      </c>
      <c r="C14" s="106">
        <v>2.0374213383510784</v>
      </c>
      <c r="D14" s="107">
        <v>2.048539889100265</v>
      </c>
      <c r="E14" s="107">
        <v>2.0760694999768834</v>
      </c>
      <c r="F14" s="107">
        <v>2.021467860710395</v>
      </c>
      <c r="G14" s="107">
        <v>2.071006713939841</v>
      </c>
      <c r="H14" s="107">
        <v>2.063090921701696</v>
      </c>
      <c r="I14" s="107">
        <v>2.107211654253926</v>
      </c>
      <c r="J14" s="107">
        <v>2.1946967714428194</v>
      </c>
      <c r="K14" s="107">
        <v>2.317712605884349</v>
      </c>
      <c r="L14" s="107">
        <v>2.5526344621713912</v>
      </c>
      <c r="M14" s="107">
        <v>2.3346519411144313</v>
      </c>
      <c r="N14" s="22"/>
      <c r="O14" s="22"/>
      <c r="P14" s="108"/>
    </row>
    <row r="15" spans="2:16" ht="13">
      <c r="B15" s="11" t="s">
        <v>27</v>
      </c>
      <c r="C15" s="106">
        <v>3.44627159497251</v>
      </c>
      <c r="D15" s="107">
        <v>3.9306247378241563</v>
      </c>
      <c r="E15" s="107">
        <v>4.005634928981574</v>
      </c>
      <c r="F15" s="107">
        <v>4.213104713665662</v>
      </c>
      <c r="G15" s="107">
        <v>4.464750104152285</v>
      </c>
      <c r="H15" s="107">
        <v>4.671672848434068</v>
      </c>
      <c r="I15" s="107">
        <v>4.80907837005556</v>
      </c>
      <c r="J15" s="107">
        <v>4.91079998243917</v>
      </c>
      <c r="K15" s="107">
        <v>4.963385595320715</v>
      </c>
      <c r="L15" s="107">
        <v>5.021494261376804</v>
      </c>
      <c r="M15" s="107">
        <v>5.101438954719495</v>
      </c>
      <c r="N15" s="22"/>
      <c r="O15" s="22"/>
      <c r="P15" s="108"/>
    </row>
    <row r="16" spans="2:15" ht="13">
      <c r="B16" s="11" t="s">
        <v>4</v>
      </c>
      <c r="C16" s="106">
        <v>3.0316149227862352</v>
      </c>
      <c r="D16" s="107">
        <v>2.932277282071542</v>
      </c>
      <c r="E16" s="107">
        <v>2.8903902881562176</v>
      </c>
      <c r="F16" s="107">
        <v>2.9165470096659445</v>
      </c>
      <c r="G16" s="107">
        <v>2.9665401263790336</v>
      </c>
      <c r="H16" s="107">
        <v>3.06392017548236</v>
      </c>
      <c r="I16" s="107">
        <v>3.1733775210547748</v>
      </c>
      <c r="J16" s="107">
        <v>3.2352688826785703</v>
      </c>
      <c r="K16" s="107">
        <v>3.195087219914213</v>
      </c>
      <c r="L16" s="107">
        <v>3.2416938225930676</v>
      </c>
      <c r="M16" s="107">
        <v>3.283522823508058</v>
      </c>
      <c r="N16" s="22"/>
      <c r="O16" s="22"/>
    </row>
    <row r="17" spans="2:15" ht="13">
      <c r="B17" s="11" t="s">
        <v>5</v>
      </c>
      <c r="C17" s="106">
        <v>1.8002693482616714</v>
      </c>
      <c r="D17" s="107">
        <v>1.8861220271502674</v>
      </c>
      <c r="E17" s="107">
        <v>2.050024187540056</v>
      </c>
      <c r="F17" s="107">
        <v>2.2261362088010292</v>
      </c>
      <c r="G17" s="107">
        <v>2.5138335468113935</v>
      </c>
      <c r="H17" s="107">
        <v>2.760691590510567</v>
      </c>
      <c r="I17" s="107">
        <v>3.0000642748254154</v>
      </c>
      <c r="J17" s="107">
        <v>3.197504290732388</v>
      </c>
      <c r="K17" s="107">
        <v>3.414219016910059</v>
      </c>
      <c r="L17" s="107">
        <v>3.776501337931624</v>
      </c>
      <c r="M17" s="107">
        <v>3.987929579353987</v>
      </c>
      <c r="N17" s="22"/>
      <c r="O17" s="22"/>
    </row>
    <row r="18" spans="2:15" ht="13">
      <c r="B18" s="11" t="s">
        <v>28</v>
      </c>
      <c r="C18" s="106">
        <v>2.592886176004659</v>
      </c>
      <c r="D18" s="107">
        <v>2.4606192015131683</v>
      </c>
      <c r="E18" s="107">
        <v>2.468697905368565</v>
      </c>
      <c r="F18" s="107">
        <v>2.536167519520263</v>
      </c>
      <c r="G18" s="107">
        <v>2.675251440246729</v>
      </c>
      <c r="H18" s="107">
        <v>2.861204240005861</v>
      </c>
      <c r="I18" s="107">
        <v>3.071585074616236</v>
      </c>
      <c r="J18" s="107">
        <v>3.1907822286392316</v>
      </c>
      <c r="K18" s="107">
        <v>3.2998226946074354</v>
      </c>
      <c r="L18" s="107">
        <v>3.4742594938757807</v>
      </c>
      <c r="M18" s="107">
        <f>ROUND(213731*1000/59058615,1)</f>
        <v>3.6</v>
      </c>
      <c r="N18" s="22"/>
      <c r="O18" s="22"/>
    </row>
    <row r="19" spans="2:15" ht="13">
      <c r="B19" s="11" t="s">
        <v>40</v>
      </c>
      <c r="C19" s="106">
        <v>2.197769200741906</v>
      </c>
      <c r="D19" s="107">
        <v>1.9603729603729605</v>
      </c>
      <c r="E19" s="107">
        <v>1.9574785598247004</v>
      </c>
      <c r="F19" s="107">
        <v>1.9296986157329965</v>
      </c>
      <c r="G19" s="107">
        <v>2.111600113242599</v>
      </c>
      <c r="H19" s="107">
        <v>2.173017555389963</v>
      </c>
      <c r="I19" s="107">
        <v>2.281084919608311</v>
      </c>
      <c r="J19" s="107">
        <v>2.3378246744106175</v>
      </c>
      <c r="K19" s="107">
        <v>2.3537762539801586</v>
      </c>
      <c r="L19" s="107">
        <v>2.4052039062456823</v>
      </c>
      <c r="M19" s="107">
        <v>2.276443133197841</v>
      </c>
      <c r="N19" s="22"/>
      <c r="O19" s="22"/>
    </row>
    <row r="20" spans="2:15" ht="13">
      <c r="B20" s="11" t="s">
        <v>29</v>
      </c>
      <c r="C20" s="106">
        <v>6.265363853099947</v>
      </c>
      <c r="D20" s="107">
        <v>6.61414521741042</v>
      </c>
      <c r="E20" s="107">
        <v>6.614483892017304</v>
      </c>
      <c r="F20" s="107">
        <v>6.7949680973225925</v>
      </c>
      <c r="G20" s="107">
        <v>6.94368950359876</v>
      </c>
      <c r="H20" s="107">
        <v>7.398756913717529</v>
      </c>
      <c r="I20" s="107">
        <v>7.699086651444191</v>
      </c>
      <c r="J20" s="107">
        <v>7.803215956596381</v>
      </c>
      <c r="K20" s="107">
        <v>7.751860187627131</v>
      </c>
      <c r="L20" s="107">
        <v>7.9514563986699764</v>
      </c>
      <c r="M20" s="107">
        <v>8.129785137998866</v>
      </c>
      <c r="N20" s="22"/>
      <c r="O20" s="22"/>
    </row>
    <row r="21" spans="2:15" ht="13">
      <c r="B21" s="11" t="s">
        <v>30</v>
      </c>
      <c r="C21" s="106">
        <v>8.556801109052948</v>
      </c>
      <c r="D21" s="107">
        <v>9.400802861382747</v>
      </c>
      <c r="E21" s="107">
        <v>8.047891630398095</v>
      </c>
      <c r="F21" s="107">
        <v>8.57902108941555</v>
      </c>
      <c r="G21" s="107">
        <v>9.880248772430532</v>
      </c>
      <c r="H21" s="107">
        <v>11.00572786296135</v>
      </c>
      <c r="I21" s="107">
        <v>12.856347327162421</v>
      </c>
      <c r="J21" s="107">
        <v>14.460522030428512</v>
      </c>
      <c r="K21" s="107">
        <v>15.01745550277571</v>
      </c>
      <c r="L21" s="107">
        <v>16.140424904080476</v>
      </c>
      <c r="M21" s="107">
        <v>17.26844255724898</v>
      </c>
      <c r="N21" s="22"/>
      <c r="O21" s="22"/>
    </row>
    <row r="22" spans="2:15" ht="13">
      <c r="B22" s="11" t="s">
        <v>31</v>
      </c>
      <c r="C22" s="106">
        <v>9.187414694277324</v>
      </c>
      <c r="D22" s="107">
        <v>8.597729588123999</v>
      </c>
      <c r="E22" s="107">
        <v>8.174677329392246</v>
      </c>
      <c r="F22" s="107">
        <v>7.812594902550807</v>
      </c>
      <c r="G22" s="107">
        <v>7.6455938794616936</v>
      </c>
      <c r="H22" s="107">
        <v>7.667710401076404</v>
      </c>
      <c r="I22" s="107">
        <v>7.8482604488722805</v>
      </c>
      <c r="J22" s="107">
        <v>7.945913484574546</v>
      </c>
      <c r="K22" s="107">
        <v>7.7040631449592745</v>
      </c>
      <c r="L22" s="107">
        <v>7.722378628967907</v>
      </c>
      <c r="M22" s="107">
        <v>7.770132083189316</v>
      </c>
      <c r="N22" s="22"/>
      <c r="O22" s="22"/>
    </row>
    <row r="23" spans="2:15" ht="13">
      <c r="B23" s="11" t="s">
        <v>6</v>
      </c>
      <c r="C23" s="106">
        <v>5.308010113840245</v>
      </c>
      <c r="D23" s="107">
        <v>5.678538760084294</v>
      </c>
      <c r="E23" s="107">
        <v>6.176709599068385</v>
      </c>
      <c r="F23" s="107">
        <v>6.555322550209882</v>
      </c>
      <c r="G23" s="107">
        <v>6.952444593098221</v>
      </c>
      <c r="H23" s="107">
        <v>7.422401952227012</v>
      </c>
      <c r="I23" s="107">
        <v>7.86574432023065</v>
      </c>
      <c r="J23" s="107">
        <v>8.125163902527103</v>
      </c>
      <c r="K23" s="107">
        <v>8.356685368848431</v>
      </c>
      <c r="L23" s="107">
        <v>8.849407731027215</v>
      </c>
      <c r="M23" s="107">
        <v>9.334877707621793</v>
      </c>
      <c r="N23" s="22"/>
      <c r="O23" s="22"/>
    </row>
    <row r="24" spans="2:15" ht="13">
      <c r="B24" s="11" t="s">
        <v>41</v>
      </c>
      <c r="C24" s="106">
        <v>2.504088670300514</v>
      </c>
      <c r="D24" s="107">
        <v>2.5522560453072023</v>
      </c>
      <c r="E24" s="107">
        <v>2.558615027371495</v>
      </c>
      <c r="F24" s="107">
        <v>2.497696568719958</v>
      </c>
      <c r="G24" s="107">
        <v>2.4853518489149398</v>
      </c>
      <c r="H24" s="107">
        <v>2.37754387735153</v>
      </c>
      <c r="I24" s="107">
        <v>2.228710245380998</v>
      </c>
      <c r="J24" s="107">
        <v>2.236845173778189</v>
      </c>
      <c r="K24" s="107">
        <v>2.2747529548537107</v>
      </c>
      <c r="L24" s="107">
        <v>2.2054970430215888</v>
      </c>
      <c r="M24" s="107">
        <v>2.177831180534695</v>
      </c>
      <c r="N24" s="22"/>
      <c r="O24" s="22"/>
    </row>
    <row r="25" spans="2:15" ht="13">
      <c r="B25" s="11" t="s">
        <v>32</v>
      </c>
      <c r="C25" s="106">
        <v>4.1968881810176955</v>
      </c>
      <c r="D25" s="107">
        <v>4.22257886236311</v>
      </c>
      <c r="E25" s="107">
        <v>4.173371013765918</v>
      </c>
      <c r="F25" s="107">
        <v>4.254931939935639</v>
      </c>
      <c r="G25" s="107">
        <v>4.344932797791202</v>
      </c>
      <c r="H25" s="107">
        <v>4.486038249973052</v>
      </c>
      <c r="I25" s="107">
        <v>4.558920084251028</v>
      </c>
      <c r="J25" s="107">
        <v>4.684911778400048</v>
      </c>
      <c r="K25" s="107">
        <v>4.64532601943931</v>
      </c>
      <c r="L25" s="107">
        <v>4.686347400485894</v>
      </c>
      <c r="M25" s="107">
        <v>4.8071107468456615</v>
      </c>
      <c r="N25" s="22"/>
      <c r="O25" s="22"/>
    </row>
    <row r="26" spans="2:15" ht="13">
      <c r="B26" s="11" t="s">
        <v>33</v>
      </c>
      <c r="C26" s="106">
        <v>1.9323557181496145</v>
      </c>
      <c r="D26" s="107">
        <v>1.9031978472425142</v>
      </c>
      <c r="E26" s="107">
        <v>1.9011229683284399</v>
      </c>
      <c r="F26" s="107">
        <v>1.8973685447603927</v>
      </c>
      <c r="G26" s="107">
        <v>1.9202392832900084</v>
      </c>
      <c r="H26" s="107">
        <v>2.025556469782653</v>
      </c>
      <c r="I26" s="107">
        <v>2.1339293525346337</v>
      </c>
      <c r="J26" s="107">
        <v>2.1720998748014844</v>
      </c>
      <c r="K26" s="107">
        <v>2.1710208735042538</v>
      </c>
      <c r="L26" s="107">
        <v>2.208169816244231</v>
      </c>
      <c r="M26" s="107">
        <v>2.2315371628584573</v>
      </c>
      <c r="N26" s="22"/>
      <c r="O26" s="22"/>
    </row>
    <row r="27" spans="2:17" ht="13">
      <c r="B27" s="11" t="s">
        <v>7</v>
      </c>
      <c r="C27" s="106">
        <v>6.757983933545152</v>
      </c>
      <c r="D27" s="107">
        <v>7.376007736996005</v>
      </c>
      <c r="E27" s="107">
        <v>7.977479327133092</v>
      </c>
      <c r="F27" s="107">
        <v>8.680885655830007</v>
      </c>
      <c r="G27" s="107">
        <v>9.52469762434136</v>
      </c>
      <c r="H27" s="107">
        <v>10.281175922481074</v>
      </c>
      <c r="I27" s="107">
        <v>11.060729450323564</v>
      </c>
      <c r="J27" s="107">
        <v>11.784376778439448</v>
      </c>
      <c r="K27" s="107">
        <v>12.40621003154836</v>
      </c>
      <c r="L27" s="107">
        <v>12.507141624688444</v>
      </c>
      <c r="M27" s="107">
        <v>12.918298764717273</v>
      </c>
      <c r="N27" s="22"/>
      <c r="O27" s="22"/>
      <c r="Q27" s="67"/>
    </row>
    <row r="28" spans="2:15" ht="13">
      <c r="B28" s="11" t="s">
        <v>34</v>
      </c>
      <c r="C28" s="106">
        <v>3.242878116546612</v>
      </c>
      <c r="D28" s="107">
        <v>3.0088322951452153</v>
      </c>
      <c r="E28" s="107">
        <v>3.5963990514728827</v>
      </c>
      <c r="F28" s="107">
        <v>3.798931085266595</v>
      </c>
      <c r="G28" s="107">
        <v>3.9938608514630043</v>
      </c>
      <c r="H28" s="107">
        <v>4.386734190863556</v>
      </c>
      <c r="I28" s="107">
        <v>4.8775779033119555</v>
      </c>
      <c r="J28" s="107">
        <v>5.399717499445654</v>
      </c>
      <c r="K28" s="107">
        <v>4.847036176624926</v>
      </c>
      <c r="L28" s="107">
        <v>4.888117725952039</v>
      </c>
      <c r="M28" s="107">
        <v>5.01746529384444</v>
      </c>
      <c r="N28" s="22"/>
      <c r="O28" s="22"/>
    </row>
    <row r="29" spans="2:15" ht="13">
      <c r="B29" s="11" t="s">
        <v>8</v>
      </c>
      <c r="C29" s="106">
        <v>3.880355287398039</v>
      </c>
      <c r="D29" s="107">
        <v>4.2585689870679815</v>
      </c>
      <c r="E29" s="107">
        <v>4.740962888626626</v>
      </c>
      <c r="F29" s="107">
        <v>5.3520682712581635</v>
      </c>
      <c r="G29" s="107">
        <v>6.01773095623492</v>
      </c>
      <c r="H29" s="107">
        <v>6.590120828950047</v>
      </c>
      <c r="I29" s="107">
        <v>7.153483244291445</v>
      </c>
      <c r="J29" s="107">
        <v>7.602422866806582</v>
      </c>
      <c r="K29" s="107">
        <v>7.94728081350458</v>
      </c>
      <c r="L29" s="107">
        <v>8.460043623576897</v>
      </c>
      <c r="M29" s="107">
        <v>8.824142057305268</v>
      </c>
      <c r="N29" s="22"/>
      <c r="O29" s="22"/>
    </row>
    <row r="30" spans="2:15" ht="13">
      <c r="B30" s="11" t="s">
        <v>35</v>
      </c>
      <c r="C30" s="106">
        <v>4.5229769853717245</v>
      </c>
      <c r="D30" s="107">
        <v>4.6761778383715376</v>
      </c>
      <c r="E30" s="107">
        <v>4.926137030182164</v>
      </c>
      <c r="F30" s="107">
        <v>5.486903324697169</v>
      </c>
      <c r="G30" s="107">
        <v>6.283475200820952</v>
      </c>
      <c r="H30" s="107">
        <v>6.933155287196161</v>
      </c>
      <c r="I30" s="107">
        <v>7.6543508891310905</v>
      </c>
      <c r="J30" s="107">
        <v>7.9924193446034835</v>
      </c>
      <c r="K30" s="107">
        <v>7.967369961834577</v>
      </c>
      <c r="L30" s="107">
        <v>8.210973908256532</v>
      </c>
      <c r="M30" s="107">
        <v>8.27416522535691</v>
      </c>
      <c r="N30" s="22"/>
      <c r="O30" s="22"/>
    </row>
    <row r="31" spans="2:15" ht="13">
      <c r="B31" s="11" t="s">
        <v>9</v>
      </c>
      <c r="C31" s="106">
        <v>4.830861626558263</v>
      </c>
      <c r="D31" s="107">
        <v>5.088858850037177</v>
      </c>
      <c r="E31" s="107">
        <v>5.243897782636757</v>
      </c>
      <c r="F31" s="107">
        <v>5.5154091627148905</v>
      </c>
      <c r="G31" s="107">
        <v>5.706355606260727</v>
      </c>
      <c r="H31" s="107">
        <v>5.711797645468041</v>
      </c>
      <c r="I31" s="107">
        <v>5.645251990626045</v>
      </c>
      <c r="J31" s="107">
        <v>5.389645380169161</v>
      </c>
      <c r="K31" s="107">
        <v>5.137935019737972</v>
      </c>
      <c r="L31" s="107">
        <v>5.174147222520715</v>
      </c>
      <c r="M31" s="107">
        <v>5.017465908169295</v>
      </c>
      <c r="N31" s="22"/>
      <c r="O31" s="22"/>
    </row>
    <row r="32" spans="2:15" ht="13">
      <c r="B32" s="14" t="s">
        <v>10</v>
      </c>
      <c r="C32" s="109">
        <v>2.0644320996617815</v>
      </c>
      <c r="D32" s="110">
        <v>2.198386797938829</v>
      </c>
      <c r="E32" s="110">
        <v>2.2733116790907775</v>
      </c>
      <c r="F32" s="110">
        <v>2.347599223517251</v>
      </c>
      <c r="G32" s="110">
        <v>2.481421591456903</v>
      </c>
      <c r="H32" s="110">
        <v>2.6476792674941456</v>
      </c>
      <c r="I32" s="110">
        <v>2.7753216384655155</v>
      </c>
      <c r="J32" s="110">
        <v>2.9238273741912644</v>
      </c>
      <c r="K32" s="110">
        <v>3.013665310574501</v>
      </c>
      <c r="L32" s="110">
        <v>3.0804357633347217</v>
      </c>
      <c r="M32" s="110">
        <v>3.134497751966528</v>
      </c>
      <c r="N32" s="22"/>
      <c r="O32" s="22"/>
    </row>
    <row r="33" spans="2:15" ht="13">
      <c r="B33" s="17" t="s">
        <v>36</v>
      </c>
      <c r="C33" s="111">
        <v>0.8932707806585947</v>
      </c>
      <c r="D33" s="112">
        <v>0.8736255897439301</v>
      </c>
      <c r="E33" s="112">
        <v>0.8530519304980684</v>
      </c>
      <c r="F33" s="112">
        <v>0.8589976040037288</v>
      </c>
      <c r="G33" s="112">
        <v>0.8649192263490114</v>
      </c>
      <c r="H33" s="112">
        <v>0.8780422444443522</v>
      </c>
      <c r="I33" s="112">
        <v>0.8831707344490838</v>
      </c>
      <c r="J33" s="112">
        <v>0.8808445030103348</v>
      </c>
      <c r="K33" s="112">
        <v>0.8638351641416878</v>
      </c>
      <c r="L33" s="112">
        <v>0.8859272089293808</v>
      </c>
      <c r="M33" s="112">
        <v>0.9182775582452434</v>
      </c>
      <c r="N33" s="22"/>
      <c r="O33" s="22"/>
    </row>
    <row r="34" spans="2:13" ht="13">
      <c r="B34" s="4" t="s">
        <v>80</v>
      </c>
      <c r="C34" s="113" t="s">
        <v>13</v>
      </c>
      <c r="D34" s="114" t="s">
        <v>13</v>
      </c>
      <c r="E34" s="114" t="s">
        <v>13</v>
      </c>
      <c r="F34" s="114" t="s">
        <v>13</v>
      </c>
      <c r="G34" s="114" t="s">
        <v>13</v>
      </c>
      <c r="H34" s="114" t="s">
        <v>13</v>
      </c>
      <c r="I34" s="114" t="s">
        <v>13</v>
      </c>
      <c r="J34" s="114" t="s">
        <v>13</v>
      </c>
      <c r="K34" s="114" t="s">
        <v>13</v>
      </c>
      <c r="L34" s="114" t="s">
        <v>13</v>
      </c>
      <c r="M34" s="114" t="s">
        <v>13</v>
      </c>
    </row>
    <row r="35" spans="2:13" ht="13">
      <c r="B35" s="197" t="s">
        <v>188</v>
      </c>
      <c r="C35" s="109">
        <v>7.546555187578044</v>
      </c>
      <c r="D35" s="110">
        <v>7.2988768886853945</v>
      </c>
      <c r="E35" s="110">
        <v>7.038484183482311</v>
      </c>
      <c r="F35" s="110">
        <v>7.176651958960183</v>
      </c>
      <c r="G35" s="110">
        <v>7.273208145993124</v>
      </c>
      <c r="H35" s="110">
        <v>7.110248202760141</v>
      </c>
      <c r="I35" s="110">
        <v>7.295846578769086</v>
      </c>
      <c r="J35" s="110">
        <v>6.916664515962527</v>
      </c>
      <c r="K35" s="110">
        <v>6.503648700550506</v>
      </c>
      <c r="L35" s="110">
        <v>6.385468606899359</v>
      </c>
      <c r="M35" s="110">
        <v>6.181947695125674</v>
      </c>
    </row>
    <row r="36" spans="2:13" ht="13">
      <c r="B36" s="14" t="s">
        <v>37</v>
      </c>
      <c r="C36" s="109">
        <v>1.602367719041232</v>
      </c>
      <c r="D36" s="110" t="s">
        <v>13</v>
      </c>
      <c r="E36" s="110">
        <v>1.7009943470539521</v>
      </c>
      <c r="F36" s="110">
        <v>1.7119343458026826</v>
      </c>
      <c r="G36" s="110">
        <v>1.7290703470330908</v>
      </c>
      <c r="H36" s="110">
        <v>1.7546579540559848</v>
      </c>
      <c r="I36" s="110">
        <v>1.805108355298175</v>
      </c>
      <c r="J36" s="110">
        <v>1.8326694711583247</v>
      </c>
      <c r="K36" s="110">
        <v>1.5571184239105131</v>
      </c>
      <c r="L36" s="110">
        <v>1.5986301142615944</v>
      </c>
      <c r="M36" s="110">
        <v>1.631997764256341</v>
      </c>
    </row>
    <row r="37" spans="2:13" ht="13">
      <c r="B37" s="17" t="s">
        <v>38</v>
      </c>
      <c r="C37" s="111">
        <v>1.3931977121703285</v>
      </c>
      <c r="D37" s="112">
        <v>1.362346769773716</v>
      </c>
      <c r="E37" s="112">
        <v>1.3622790727373506</v>
      </c>
      <c r="F37" s="112">
        <v>1.3507661586962896</v>
      </c>
      <c r="G37" s="112">
        <v>1.3362946950846541</v>
      </c>
      <c r="H37" s="112">
        <v>1.346514020883697</v>
      </c>
      <c r="I37" s="112">
        <v>1.3827564708965165</v>
      </c>
      <c r="J37" s="112">
        <v>1.392627706633242</v>
      </c>
      <c r="K37" s="112">
        <v>1.373078209519855</v>
      </c>
      <c r="L37" s="112">
        <v>1.3793670085484366</v>
      </c>
      <c r="M37" s="112">
        <v>1.414779011405191</v>
      </c>
    </row>
    <row r="38" spans="2:13" ht="13">
      <c r="B38" s="11" t="s">
        <v>189</v>
      </c>
      <c r="C38" s="106" t="s">
        <v>13</v>
      </c>
      <c r="D38" s="107">
        <v>1.7516373576713251</v>
      </c>
      <c r="E38" s="107">
        <v>1.8646798280400023</v>
      </c>
      <c r="F38" s="107">
        <v>1.9402151193001786</v>
      </c>
      <c r="G38" s="107">
        <v>2.0905043022557703</v>
      </c>
      <c r="H38" s="107">
        <v>2.239491152603428</v>
      </c>
      <c r="I38" s="107">
        <v>2.3567010873174943</v>
      </c>
      <c r="J38" s="107">
        <v>2.3692034803536615</v>
      </c>
      <c r="K38" s="107">
        <v>2.411659523372312</v>
      </c>
      <c r="L38" s="107">
        <v>2.6301909349836494</v>
      </c>
      <c r="M38" s="107">
        <v>2.7322938114456803</v>
      </c>
    </row>
    <row r="39" spans="2:13" ht="13">
      <c r="B39" s="4" t="s">
        <v>76</v>
      </c>
      <c r="C39" s="113" t="s">
        <v>13</v>
      </c>
      <c r="D39" s="114" t="s">
        <v>13</v>
      </c>
      <c r="E39" s="114" t="s">
        <v>13</v>
      </c>
      <c r="F39" s="114" t="s">
        <v>13</v>
      </c>
      <c r="G39" s="114">
        <v>2.083912421049926</v>
      </c>
      <c r="H39" s="114">
        <v>2.2575394587368383</v>
      </c>
      <c r="I39" s="114">
        <v>2.5105194300060107</v>
      </c>
      <c r="J39" s="114">
        <v>2.7031242713544406</v>
      </c>
      <c r="K39" s="114">
        <v>2.804721469087652</v>
      </c>
      <c r="L39" s="114">
        <v>3.1537212453637222</v>
      </c>
      <c r="M39" s="114">
        <v>3.255715310280516</v>
      </c>
    </row>
    <row r="40" spans="2:13" ht="13">
      <c r="B40" s="11" t="s">
        <v>190</v>
      </c>
      <c r="C40" s="106">
        <v>1.695745213438865</v>
      </c>
      <c r="D40" s="107">
        <v>3.128202620055913</v>
      </c>
      <c r="E40" s="107">
        <v>2.895229158527087</v>
      </c>
      <c r="F40" s="107">
        <v>2.6702040611967</v>
      </c>
      <c r="G40" s="107">
        <v>2.519395345117172</v>
      </c>
      <c r="H40" s="107">
        <v>2.379147314503674</v>
      </c>
      <c r="I40" s="107">
        <v>2.2214386857013473</v>
      </c>
      <c r="J40" s="107">
        <v>2.0800641648821183</v>
      </c>
      <c r="K40" s="107">
        <v>4.829989676975188</v>
      </c>
      <c r="L40" s="107">
        <v>5.282801209191613</v>
      </c>
      <c r="M40" s="107">
        <v>5.91042263564805</v>
      </c>
    </row>
    <row r="41" spans="2:13" ht="13">
      <c r="B41" s="11" t="s">
        <v>138</v>
      </c>
      <c r="C41" s="106">
        <v>2.045780087611175</v>
      </c>
      <c r="D41" s="107">
        <v>2.388456792603626</v>
      </c>
      <c r="E41" s="107">
        <v>2.536280212568119</v>
      </c>
      <c r="F41" s="107">
        <v>2.6317085393655515</v>
      </c>
      <c r="G41" s="107">
        <v>2.719773622246591</v>
      </c>
      <c r="H41" s="107">
        <v>2.784174440237826</v>
      </c>
      <c r="I41" s="107">
        <v>2.7022837258296537</v>
      </c>
      <c r="J41" s="107">
        <v>2.701980248090914</v>
      </c>
      <c r="K41" s="107">
        <v>2.734908217678973</v>
      </c>
      <c r="L41" s="107">
        <v>3.330767715013875</v>
      </c>
      <c r="M41" s="107">
        <v>3.4298361451711763</v>
      </c>
    </row>
    <row r="42" spans="2:13" ht="13">
      <c r="B42" s="11" t="s">
        <v>154</v>
      </c>
      <c r="C42" s="106" t="s">
        <v>13</v>
      </c>
      <c r="D42" s="107" t="s">
        <v>13</v>
      </c>
      <c r="E42" s="107" t="s">
        <v>13</v>
      </c>
      <c r="F42" s="107" t="s">
        <v>13</v>
      </c>
      <c r="G42" s="107" t="s">
        <v>13</v>
      </c>
      <c r="H42" s="107" t="s">
        <v>13</v>
      </c>
      <c r="I42" s="107" t="s">
        <v>13</v>
      </c>
      <c r="J42" s="107" t="s">
        <v>13</v>
      </c>
      <c r="K42" s="107" t="s">
        <v>13</v>
      </c>
      <c r="L42" s="107" t="s">
        <v>13</v>
      </c>
      <c r="M42" s="107" t="s">
        <v>13</v>
      </c>
    </row>
    <row r="43" spans="2:13" ht="13">
      <c r="B43" s="11" t="s">
        <v>77</v>
      </c>
      <c r="C43" s="106" t="s">
        <v>13</v>
      </c>
      <c r="D43" s="107" t="s">
        <v>13</v>
      </c>
      <c r="E43" s="107" t="s">
        <v>13</v>
      </c>
      <c r="F43" s="107" t="s">
        <v>13</v>
      </c>
      <c r="G43" s="107" t="s">
        <v>13</v>
      </c>
      <c r="H43" s="107" t="s">
        <v>13</v>
      </c>
      <c r="I43" s="107" t="s">
        <v>13</v>
      </c>
      <c r="J43" s="107" t="s">
        <v>13</v>
      </c>
      <c r="K43" s="107" t="s">
        <v>13</v>
      </c>
      <c r="L43" s="107" t="s">
        <v>13</v>
      </c>
      <c r="M43" s="107" t="s">
        <v>13</v>
      </c>
    </row>
    <row r="44" spans="2:13" ht="13">
      <c r="B44" s="11" t="s">
        <v>64</v>
      </c>
      <c r="C44" s="106" t="s">
        <v>13</v>
      </c>
      <c r="D44" s="107" t="s">
        <v>13</v>
      </c>
      <c r="E44" s="107" t="s">
        <v>13</v>
      </c>
      <c r="F44" s="107" t="s">
        <v>13</v>
      </c>
      <c r="G44" s="107" t="s">
        <v>13</v>
      </c>
      <c r="H44" s="107" t="s">
        <v>13</v>
      </c>
      <c r="I44" s="107" t="s">
        <v>13</v>
      </c>
      <c r="J44" s="107" t="s">
        <v>13</v>
      </c>
      <c r="K44" s="107" t="s">
        <v>13</v>
      </c>
      <c r="L44" s="107" t="s">
        <v>13</v>
      </c>
      <c r="M44" s="107" t="s">
        <v>13</v>
      </c>
    </row>
    <row r="45" spans="2:13" ht="13">
      <c r="B45" s="4" t="s">
        <v>93</v>
      </c>
      <c r="C45" s="113">
        <v>2.174040556526456</v>
      </c>
      <c r="D45" s="114">
        <v>2.3507763304844387</v>
      </c>
      <c r="E45" s="114">
        <v>2.538332007823733</v>
      </c>
      <c r="F45" s="114">
        <v>2.729110061558359</v>
      </c>
      <c r="G45" s="114">
        <v>2.8265284047129513</v>
      </c>
      <c r="H45" s="114">
        <v>2.8485769644486285</v>
      </c>
      <c r="I45" s="114">
        <v>2.878790543111118</v>
      </c>
      <c r="J45" s="114">
        <v>2.8701582419634986</v>
      </c>
      <c r="K45" s="114">
        <v>2.9742617661783988</v>
      </c>
      <c r="L45" s="114">
        <v>3.147639828700127</v>
      </c>
      <c r="M45" s="114">
        <v>3.40956623982542</v>
      </c>
    </row>
    <row r="46" spans="2:13" ht="13">
      <c r="B46" s="17" t="s">
        <v>157</v>
      </c>
      <c r="C46" s="111" t="s">
        <v>13</v>
      </c>
      <c r="D46" s="112" t="s">
        <v>13</v>
      </c>
      <c r="E46" s="112" t="s">
        <v>13</v>
      </c>
      <c r="F46" s="112" t="s">
        <v>13</v>
      </c>
      <c r="G46" s="112" t="s">
        <v>13</v>
      </c>
      <c r="H46" s="112" t="s">
        <v>13</v>
      </c>
      <c r="I46" s="112" t="s">
        <v>13</v>
      </c>
      <c r="J46" s="112" t="s">
        <v>13</v>
      </c>
      <c r="K46" s="112" t="s">
        <v>13</v>
      </c>
      <c r="L46" s="112" t="s">
        <v>13</v>
      </c>
      <c r="M46" s="112" t="s">
        <v>13</v>
      </c>
    </row>
    <row r="47" spans="2:13" ht="12" customHeight="1">
      <c r="B47" s="227" t="s">
        <v>71</v>
      </c>
      <c r="C47" s="241" t="s">
        <v>13</v>
      </c>
      <c r="D47" s="242" t="s">
        <v>13</v>
      </c>
      <c r="E47" s="242" t="s">
        <v>13</v>
      </c>
      <c r="F47" s="242" t="s">
        <v>13</v>
      </c>
      <c r="G47" s="242" t="s">
        <v>13</v>
      </c>
      <c r="H47" s="242">
        <v>0.5265481460723512</v>
      </c>
      <c r="I47" s="242">
        <v>1.0943015015041775</v>
      </c>
      <c r="J47" s="242">
        <v>1.3164133627740073</v>
      </c>
      <c r="K47" s="242" t="s">
        <v>13</v>
      </c>
      <c r="L47" s="242">
        <v>1.390482656843133</v>
      </c>
      <c r="M47" s="242" t="s">
        <v>13</v>
      </c>
    </row>
    <row r="48" spans="2:13" ht="15" customHeight="1">
      <c r="B48" s="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ht="15" customHeight="1">
      <c r="B49" s="1" t="s">
        <v>102</v>
      </c>
    </row>
    <row r="50" ht="15" customHeight="1">
      <c r="B50" s="1" t="s">
        <v>251</v>
      </c>
    </row>
    <row r="51" ht="15" customHeight="1">
      <c r="B51" s="1" t="s">
        <v>252</v>
      </c>
    </row>
    <row r="52" ht="15" customHeight="1">
      <c r="B52" s="1" t="s">
        <v>253</v>
      </c>
    </row>
    <row r="53" ht="15" customHeight="1">
      <c r="B53" s="1" t="s">
        <v>254</v>
      </c>
    </row>
    <row r="54" ht="15" customHeight="1">
      <c r="B54" s="1" t="s">
        <v>73</v>
      </c>
    </row>
    <row r="55" ht="15" customHeight="1">
      <c r="B55" s="1" t="s">
        <v>72</v>
      </c>
    </row>
    <row r="56" ht="15" customHeight="1">
      <c r="B56" s="32" t="s">
        <v>147</v>
      </c>
    </row>
    <row r="57" ht="15" customHeight="1"/>
    <row r="60" spans="13:14" ht="15">
      <c r="M60" s="22"/>
      <c r="N60" s="22"/>
    </row>
    <row r="61" spans="13:14" ht="15">
      <c r="M61" s="22"/>
      <c r="N61" s="22"/>
    </row>
    <row r="62" spans="13:14" ht="15">
      <c r="M62" s="22"/>
      <c r="N62" s="22"/>
    </row>
    <row r="63" spans="13:14" ht="15">
      <c r="M63" s="22"/>
      <c r="N63" s="22"/>
    </row>
    <row r="64" spans="13:14" ht="15">
      <c r="M64" s="22"/>
      <c r="N64" s="22"/>
    </row>
    <row r="65" spans="13:14" ht="15">
      <c r="M65" s="22"/>
      <c r="N65" s="22"/>
    </row>
    <row r="66" spans="13:14" ht="15">
      <c r="M66" s="22"/>
      <c r="N66" s="22"/>
    </row>
    <row r="67" spans="13:14" ht="15">
      <c r="M67" s="22"/>
      <c r="N67" s="22"/>
    </row>
    <row r="68" spans="13:14" ht="15">
      <c r="M68" s="22"/>
      <c r="N68" s="22"/>
    </row>
    <row r="69" spans="13:14" ht="15">
      <c r="M69" s="22"/>
      <c r="N69" s="22"/>
    </row>
    <row r="70" spans="13:14" ht="15">
      <c r="M70" s="22"/>
      <c r="N70" s="22"/>
    </row>
    <row r="71" spans="13:14" ht="15">
      <c r="M71" s="22"/>
      <c r="N71" s="22"/>
    </row>
    <row r="72" spans="13:14" ht="15">
      <c r="M72" s="22"/>
      <c r="N72" s="22"/>
    </row>
    <row r="73" spans="13:14" ht="15">
      <c r="M73" s="22"/>
      <c r="N73" s="22"/>
    </row>
    <row r="74" spans="13:14" ht="15">
      <c r="M74" s="22"/>
      <c r="N74" s="22"/>
    </row>
    <row r="75" spans="13:14" ht="15">
      <c r="M75" s="22"/>
      <c r="N75" s="22"/>
    </row>
    <row r="76" spans="13:14" ht="15">
      <c r="M76" s="22"/>
      <c r="N76" s="22"/>
    </row>
    <row r="77" spans="13:14" ht="15">
      <c r="M77" s="22"/>
      <c r="N77" s="22"/>
    </row>
    <row r="78" spans="13:14" ht="15">
      <c r="M78" s="22"/>
      <c r="N78" s="22"/>
    </row>
    <row r="79" spans="13:14" ht="15">
      <c r="M79" s="22"/>
      <c r="N79" s="22"/>
    </row>
    <row r="80" spans="13:14" ht="15">
      <c r="M80" s="22"/>
      <c r="N80" s="22"/>
    </row>
    <row r="81" spans="13:14" ht="15">
      <c r="M81" s="22"/>
      <c r="N81" s="22"/>
    </row>
    <row r="82" spans="13:14" ht="15">
      <c r="M82" s="22"/>
      <c r="N82" s="22"/>
    </row>
    <row r="83" spans="13:14" ht="15">
      <c r="M83" s="22"/>
      <c r="N83" s="22"/>
    </row>
    <row r="84" spans="13:14" ht="15">
      <c r="M84" s="22"/>
      <c r="N84" s="22"/>
    </row>
    <row r="85" spans="13:14" ht="15">
      <c r="M85" s="22"/>
      <c r="N85" s="22"/>
    </row>
    <row r="86" spans="13:14" ht="15">
      <c r="M86" s="22"/>
      <c r="N86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2:Z143"/>
  <sheetViews>
    <sheetView showGridLines="0" workbookViewId="0" topLeftCell="L6">
      <selection activeCell="N61" sqref="N61"/>
    </sheetView>
  </sheetViews>
  <sheetFormatPr defaultColWidth="9.28125" defaultRowHeight="15"/>
  <cols>
    <col min="1" max="1" width="9.28125" style="3" customWidth="1"/>
    <col min="2" max="2" width="22.8515625" style="3" customWidth="1"/>
    <col min="3" max="13" width="7.421875" style="3" customWidth="1"/>
    <col min="14" max="14" width="9.28125" style="3" customWidth="1"/>
    <col min="15" max="15" width="9.28125" style="22" customWidth="1"/>
    <col min="16" max="19" width="9.28125" style="3" customWidth="1"/>
    <col min="20" max="20" width="6.00390625" style="3" customWidth="1"/>
    <col min="21" max="16384" width="9.28125" style="3" customWidth="1"/>
  </cols>
  <sheetData>
    <row r="1" ht="12.75"/>
    <row r="2" ht="12.75">
      <c r="B2" s="4" t="s">
        <v>194</v>
      </c>
    </row>
    <row r="3" ht="12.75">
      <c r="B3" s="1" t="s">
        <v>87</v>
      </c>
    </row>
    <row r="4" ht="12.75"/>
    <row r="5" spans="2:13" ht="12.75">
      <c r="B5" s="84"/>
      <c r="C5" s="85">
        <v>2012</v>
      </c>
      <c r="D5" s="86">
        <v>2013</v>
      </c>
      <c r="E5" s="86">
        <v>2014</v>
      </c>
      <c r="F5" s="86">
        <v>2015</v>
      </c>
      <c r="G5" s="86">
        <v>2016</v>
      </c>
      <c r="H5" s="86">
        <v>2017</v>
      </c>
      <c r="I5" s="86">
        <v>2018</v>
      </c>
      <c r="J5" s="86">
        <v>2019</v>
      </c>
      <c r="K5" s="86">
        <v>2020</v>
      </c>
      <c r="L5" s="86">
        <v>2021</v>
      </c>
      <c r="M5" s="86">
        <v>2022</v>
      </c>
    </row>
    <row r="6" spans="2:14" ht="12.75">
      <c r="B6" s="70" t="s">
        <v>89</v>
      </c>
      <c r="C6" s="101">
        <v>3.305338272037585</v>
      </c>
      <c r="D6" s="102">
        <v>3.410476291700185</v>
      </c>
      <c r="E6" s="103">
        <v>3.5188658645939017</v>
      </c>
      <c r="F6" s="103">
        <v>3.6853789801652117</v>
      </c>
      <c r="G6" s="103">
        <v>3.9018690429828284</v>
      </c>
      <c r="H6" s="103">
        <v>4.114912121687527</v>
      </c>
      <c r="I6" s="103">
        <v>4.336405913897256</v>
      </c>
      <c r="J6" s="103">
        <v>4.4956840240486855</v>
      </c>
      <c r="K6" s="103">
        <v>4.567338703786064</v>
      </c>
      <c r="L6" s="103">
        <v>4.674177397818342</v>
      </c>
      <c r="M6" s="103">
        <f>ROUND(2163005*1000/451385792,1)</f>
        <v>4.8</v>
      </c>
      <c r="N6" s="205"/>
    </row>
    <row r="7" spans="2:14" ht="12.75">
      <c r="B7" s="8" t="s">
        <v>23</v>
      </c>
      <c r="C7" s="104">
        <v>4.199507019858369</v>
      </c>
      <c r="D7" s="105">
        <v>4.02474232705235</v>
      </c>
      <c r="E7" s="105">
        <v>3.9772101312115375</v>
      </c>
      <c r="F7" s="105">
        <v>3.9652140456154776</v>
      </c>
      <c r="G7" s="105">
        <v>4.0301356789147595</v>
      </c>
      <c r="H7" s="105">
        <v>4.165252383430967</v>
      </c>
      <c r="I7" s="105">
        <v>4.3847860581436775</v>
      </c>
      <c r="J7" s="105">
        <v>4.57316332304616</v>
      </c>
      <c r="K7" s="105">
        <v>4.569715685309794</v>
      </c>
      <c r="L7" s="105">
        <v>4.639417202641194</v>
      </c>
      <c r="M7" s="105">
        <v>4.694960949347957</v>
      </c>
      <c r="N7" s="205"/>
    </row>
    <row r="8" spans="2:14" ht="12.75">
      <c r="B8" s="11" t="s">
        <v>1</v>
      </c>
      <c r="C8" s="106">
        <v>4.841203686925428</v>
      </c>
      <c r="D8" s="107">
        <v>5.39977147753067</v>
      </c>
      <c r="E8" s="107">
        <v>5.926801790231259</v>
      </c>
      <c r="F8" s="107">
        <v>6.683036557995042</v>
      </c>
      <c r="G8" s="107">
        <v>7.274151739706463</v>
      </c>
      <c r="H8" s="107">
        <v>7.148334320089804</v>
      </c>
      <c r="I8" s="107">
        <v>7.30595929536964</v>
      </c>
      <c r="J8" s="107">
        <v>7.287654632494194</v>
      </c>
      <c r="K8" s="107">
        <v>7.142291212321522</v>
      </c>
      <c r="L8" s="107">
        <v>7.064986853951133</v>
      </c>
      <c r="M8" s="107">
        <v>7.1167988898496795</v>
      </c>
      <c r="N8" s="205"/>
    </row>
    <row r="9" spans="2:14" ht="12.75">
      <c r="B9" s="11" t="s">
        <v>56</v>
      </c>
      <c r="C9" s="106">
        <v>0.8289174957505735</v>
      </c>
      <c r="D9" s="107">
        <v>0.7254277060303627</v>
      </c>
      <c r="E9" s="107">
        <v>0.6282811940284344</v>
      </c>
      <c r="F9" s="107">
        <v>0.5005759513382945</v>
      </c>
      <c r="G9" s="107">
        <v>0.4242439137824445</v>
      </c>
      <c r="H9" s="107">
        <v>0.3894419020448056</v>
      </c>
      <c r="I9" s="107">
        <v>0.4093973595748277</v>
      </c>
      <c r="J9" s="107">
        <v>0.37320205398590733</v>
      </c>
      <c r="K9" s="107">
        <v>0.35312605170771605</v>
      </c>
      <c r="L9" s="107">
        <v>0.3412665200238059</v>
      </c>
      <c r="M9" s="107">
        <v>0.3156726883747809</v>
      </c>
      <c r="N9" s="205"/>
    </row>
    <row r="10" spans="2:14" ht="12.75">
      <c r="B10" s="11" t="s">
        <v>24</v>
      </c>
      <c r="C10" s="106">
        <v>2.2469812380904104</v>
      </c>
      <c r="D10" s="107">
        <v>2.2849587763795185</v>
      </c>
      <c r="E10" s="107">
        <v>2.2734360299060996</v>
      </c>
      <c r="F10" s="107">
        <v>2.300056542107575</v>
      </c>
      <c r="G10" s="107">
        <v>2.372681873284524</v>
      </c>
      <c r="H10" s="107">
        <v>2.444133474250111</v>
      </c>
      <c r="I10" s="107">
        <v>2.504098719945519</v>
      </c>
      <c r="J10" s="107">
        <v>2.5046528598192985</v>
      </c>
      <c r="K10" s="107">
        <v>2.5126518716893447</v>
      </c>
      <c r="L10" s="107">
        <v>2.6270894981118325</v>
      </c>
      <c r="M10" s="107">
        <v>2.6612815750954244</v>
      </c>
      <c r="N10" s="205"/>
    </row>
    <row r="11" spans="2:14" ht="12.75">
      <c r="B11" s="11" t="s">
        <v>57</v>
      </c>
      <c r="C11" s="106">
        <v>2.270497947276323</v>
      </c>
      <c r="D11" s="107">
        <v>2.285437639659426</v>
      </c>
      <c r="E11" s="107">
        <v>2.321264991079717</v>
      </c>
      <c r="F11" s="107">
        <v>2.3654929358421892</v>
      </c>
      <c r="G11" s="107">
        <v>2.4476484977827577</v>
      </c>
      <c r="H11" s="107">
        <v>2.5478319851069333</v>
      </c>
      <c r="I11" s="107">
        <v>2.6313667897574504</v>
      </c>
      <c r="J11" s="107">
        <v>2.6350567115729753</v>
      </c>
      <c r="K11" s="107">
        <v>2.6272493362428064</v>
      </c>
      <c r="L11" s="107">
        <v>2.670431044686263</v>
      </c>
      <c r="M11" s="107">
        <v>2.6958344143750996</v>
      </c>
      <c r="N11" s="205"/>
    </row>
    <row r="12" spans="2:14" ht="12.75">
      <c r="B12" s="11" t="s">
        <v>3</v>
      </c>
      <c r="C12" s="106">
        <v>7.3210046554469335</v>
      </c>
      <c r="D12" s="107">
        <v>7.782985349808751</v>
      </c>
      <c r="E12" s="107">
        <v>8.048704434658939</v>
      </c>
      <c r="F12" s="107">
        <v>8.216915005501754</v>
      </c>
      <c r="G12" s="107">
        <v>8.63841414982119</v>
      </c>
      <c r="H12" s="107">
        <v>8.996060291115453</v>
      </c>
      <c r="I12" s="107">
        <v>9.206533717788076</v>
      </c>
      <c r="J12" s="107">
        <v>9.774442879329648</v>
      </c>
      <c r="K12" s="107">
        <v>9.716796434468012</v>
      </c>
      <c r="L12" s="107">
        <v>9.77927550465687</v>
      </c>
      <c r="M12" s="107">
        <v>9.483772252421424</v>
      </c>
      <c r="N12" s="205"/>
    </row>
    <row r="13" spans="2:14" ht="12.75">
      <c r="B13" s="11" t="s">
        <v>25</v>
      </c>
      <c r="C13" s="106">
        <v>1.830890374571102</v>
      </c>
      <c r="D13" s="107">
        <v>1.7471450145455267</v>
      </c>
      <c r="E13" s="107">
        <v>2.1421118015609197</v>
      </c>
      <c r="F13" s="107">
        <v>2.57051731528731</v>
      </c>
      <c r="G13" s="107">
        <v>2.732640760574561</v>
      </c>
      <c r="H13" s="107">
        <v>2.832689355232453</v>
      </c>
      <c r="I13" s="107">
        <v>2.92501998270884</v>
      </c>
      <c r="J13" s="107">
        <v>2.99469829426884</v>
      </c>
      <c r="K13" s="107">
        <v>3.0657224742146134</v>
      </c>
      <c r="L13" s="107">
        <v>3.174898675969426</v>
      </c>
      <c r="M13" s="107">
        <v>3.223052137801375</v>
      </c>
      <c r="N13" s="205"/>
    </row>
    <row r="14" spans="2:14" ht="12.75">
      <c r="B14" s="11" t="s">
        <v>26</v>
      </c>
      <c r="C14" s="106">
        <v>2.0374213383510784</v>
      </c>
      <c r="D14" s="107">
        <v>2.048539889100265</v>
      </c>
      <c r="E14" s="107">
        <v>2.0760694999768834</v>
      </c>
      <c r="F14" s="107">
        <v>2.021467860710395</v>
      </c>
      <c r="G14" s="107">
        <v>2.071006713939841</v>
      </c>
      <c r="H14" s="107">
        <v>2.063090921701696</v>
      </c>
      <c r="I14" s="107">
        <v>2.107211654253926</v>
      </c>
      <c r="J14" s="107">
        <v>2.1946967714428194</v>
      </c>
      <c r="K14" s="107">
        <v>2.317712605884349</v>
      </c>
      <c r="L14" s="107">
        <v>2.5526344621713912</v>
      </c>
      <c r="M14" s="107">
        <v>2.3346519411144313</v>
      </c>
      <c r="N14" s="205"/>
    </row>
    <row r="15" spans="2:14" ht="12.75">
      <c r="B15" s="11" t="s">
        <v>27</v>
      </c>
      <c r="C15" s="106">
        <v>3.44627159497251</v>
      </c>
      <c r="D15" s="107">
        <v>3.9306247378241563</v>
      </c>
      <c r="E15" s="107">
        <v>4.005634928981574</v>
      </c>
      <c r="F15" s="107">
        <v>4.213104713665662</v>
      </c>
      <c r="G15" s="107">
        <v>4.464750104152285</v>
      </c>
      <c r="H15" s="107">
        <v>4.671672848434068</v>
      </c>
      <c r="I15" s="107">
        <v>4.80907837005556</v>
      </c>
      <c r="J15" s="107">
        <v>4.91079998243917</v>
      </c>
      <c r="K15" s="107">
        <v>4.963385595320715</v>
      </c>
      <c r="L15" s="107">
        <v>5.021494261376804</v>
      </c>
      <c r="M15" s="107">
        <v>5.101438954719495</v>
      </c>
      <c r="N15" s="205"/>
    </row>
    <row r="16" spans="2:14" ht="12.75">
      <c r="B16" s="11" t="s">
        <v>4</v>
      </c>
      <c r="C16" s="106">
        <v>3.0316149227862352</v>
      </c>
      <c r="D16" s="107">
        <v>2.932277282071542</v>
      </c>
      <c r="E16" s="107">
        <v>2.8903902881562176</v>
      </c>
      <c r="F16" s="107">
        <v>2.9165470096659445</v>
      </c>
      <c r="G16" s="107">
        <v>2.9665401263790336</v>
      </c>
      <c r="H16" s="107">
        <v>3.06392017548236</v>
      </c>
      <c r="I16" s="107">
        <v>3.1733775210547748</v>
      </c>
      <c r="J16" s="107">
        <v>3.2352688826785703</v>
      </c>
      <c r="K16" s="107">
        <v>3.195087219914213</v>
      </c>
      <c r="L16" s="107">
        <v>3.2416938225930676</v>
      </c>
      <c r="M16" s="107">
        <v>3.283522823508058</v>
      </c>
      <c r="N16" s="205"/>
    </row>
    <row r="17" spans="2:14" ht="12.75">
      <c r="B17" s="11" t="s">
        <v>5</v>
      </c>
      <c r="C17" s="106">
        <v>1.8002693482616714</v>
      </c>
      <c r="D17" s="107">
        <v>1.8861220271502674</v>
      </c>
      <c r="E17" s="107">
        <v>2.050024187540056</v>
      </c>
      <c r="F17" s="107">
        <v>2.2261362088010292</v>
      </c>
      <c r="G17" s="107">
        <v>2.5138335468113935</v>
      </c>
      <c r="H17" s="107">
        <v>2.760691590510567</v>
      </c>
      <c r="I17" s="107">
        <v>3.0000642748254154</v>
      </c>
      <c r="J17" s="107">
        <v>3.197504290732388</v>
      </c>
      <c r="K17" s="107">
        <v>3.414219016910059</v>
      </c>
      <c r="L17" s="107">
        <v>3.776501337931624</v>
      </c>
      <c r="M17" s="107">
        <v>3.987929579353987</v>
      </c>
      <c r="N17" s="205"/>
    </row>
    <row r="18" spans="2:14" ht="12.75">
      <c r="B18" s="11" t="s">
        <v>28</v>
      </c>
      <c r="C18" s="106">
        <v>2.592886176004659</v>
      </c>
      <c r="D18" s="107">
        <v>2.4606192015131683</v>
      </c>
      <c r="E18" s="107">
        <v>2.468697905368565</v>
      </c>
      <c r="F18" s="107">
        <v>2.536167519520263</v>
      </c>
      <c r="G18" s="107">
        <v>2.675251440246729</v>
      </c>
      <c r="H18" s="107">
        <v>2.861204240005861</v>
      </c>
      <c r="I18" s="107">
        <v>3.071585074616236</v>
      </c>
      <c r="J18" s="107">
        <v>3.1907822286392316</v>
      </c>
      <c r="K18" s="107">
        <v>3.2998226946074354</v>
      </c>
      <c r="L18" s="107">
        <v>3.4742594938757807</v>
      </c>
      <c r="M18" s="107">
        <f>ROUND(213731*1000/59058615,1)</f>
        <v>3.6</v>
      </c>
      <c r="N18" s="205"/>
    </row>
    <row r="19" spans="2:14" ht="12.75">
      <c r="B19" s="11" t="s">
        <v>40</v>
      </c>
      <c r="C19" s="106">
        <v>2.197769200741906</v>
      </c>
      <c r="D19" s="107">
        <v>1.9603729603729605</v>
      </c>
      <c r="E19" s="107">
        <v>1.9574785598247004</v>
      </c>
      <c r="F19" s="107">
        <v>1.9296986157329965</v>
      </c>
      <c r="G19" s="107">
        <v>2.111600113242599</v>
      </c>
      <c r="H19" s="107">
        <v>2.173017555389963</v>
      </c>
      <c r="I19" s="107">
        <v>2.281084919608311</v>
      </c>
      <c r="J19" s="107">
        <v>2.3378246744106175</v>
      </c>
      <c r="K19" s="107">
        <v>2.3537762539801586</v>
      </c>
      <c r="L19" s="107">
        <v>2.4052039062456823</v>
      </c>
      <c r="M19" s="107">
        <v>2.276443133197841</v>
      </c>
      <c r="N19" s="205"/>
    </row>
    <row r="20" spans="2:14" ht="12.75">
      <c r="B20" s="11" t="s">
        <v>29</v>
      </c>
      <c r="C20" s="106">
        <v>6.265363853099947</v>
      </c>
      <c r="D20" s="107">
        <v>6.61414521741042</v>
      </c>
      <c r="E20" s="107">
        <v>6.614483892017304</v>
      </c>
      <c r="F20" s="107">
        <v>6.7949680973225925</v>
      </c>
      <c r="G20" s="107">
        <v>6.94368950359876</v>
      </c>
      <c r="H20" s="107">
        <v>7.398756913717529</v>
      </c>
      <c r="I20" s="107">
        <v>7.699086651444191</v>
      </c>
      <c r="J20" s="107">
        <v>7.803215956596381</v>
      </c>
      <c r="K20" s="107">
        <v>7.751860187627131</v>
      </c>
      <c r="L20" s="107">
        <v>7.9514563986699764</v>
      </c>
      <c r="M20" s="107">
        <v>8.129785137998866</v>
      </c>
      <c r="N20" s="205"/>
    </row>
    <row r="21" spans="2:14" ht="12.75">
      <c r="B21" s="11" t="s">
        <v>30</v>
      </c>
      <c r="C21" s="106">
        <v>8.556801109052948</v>
      </c>
      <c r="D21" s="107">
        <v>9.400802861382747</v>
      </c>
      <c r="E21" s="107">
        <v>8.047891630398095</v>
      </c>
      <c r="F21" s="107">
        <v>8.57902108941555</v>
      </c>
      <c r="G21" s="107">
        <v>9.880248772430532</v>
      </c>
      <c r="H21" s="107">
        <v>11.00572786296135</v>
      </c>
      <c r="I21" s="107">
        <v>12.856347327162421</v>
      </c>
      <c r="J21" s="107">
        <v>14.460522030428512</v>
      </c>
      <c r="K21" s="107">
        <v>15.01745550277571</v>
      </c>
      <c r="L21" s="107">
        <v>16.140424904080476</v>
      </c>
      <c r="M21" s="107">
        <v>17.26844255724898</v>
      </c>
      <c r="N21" s="205"/>
    </row>
    <row r="22" spans="2:14" ht="12.75">
      <c r="B22" s="11" t="s">
        <v>31</v>
      </c>
      <c r="C22" s="106">
        <v>9.187414694277324</v>
      </c>
      <c r="D22" s="107">
        <v>8.597729588123999</v>
      </c>
      <c r="E22" s="107">
        <v>8.174677329392246</v>
      </c>
      <c r="F22" s="107">
        <v>7.812594902550807</v>
      </c>
      <c r="G22" s="107">
        <v>7.6455938794616936</v>
      </c>
      <c r="H22" s="107">
        <v>7.667710401076404</v>
      </c>
      <c r="I22" s="107">
        <v>7.8482604488722805</v>
      </c>
      <c r="J22" s="107">
        <v>7.945913484574546</v>
      </c>
      <c r="K22" s="107">
        <v>7.7040631449592745</v>
      </c>
      <c r="L22" s="107">
        <v>7.722378628967907</v>
      </c>
      <c r="M22" s="107">
        <v>7.770132083189316</v>
      </c>
      <c r="N22" s="205"/>
    </row>
    <row r="23" spans="2:14" ht="12.75">
      <c r="B23" s="11" t="s">
        <v>6</v>
      </c>
      <c r="C23" s="106">
        <v>5.308010113840245</v>
      </c>
      <c r="D23" s="107">
        <v>5.678538760084294</v>
      </c>
      <c r="E23" s="107">
        <v>6.176709599068385</v>
      </c>
      <c r="F23" s="107">
        <v>6.555322550209882</v>
      </c>
      <c r="G23" s="107">
        <v>6.952444593098221</v>
      </c>
      <c r="H23" s="107">
        <v>7.422401952227012</v>
      </c>
      <c r="I23" s="107">
        <v>7.86574432023065</v>
      </c>
      <c r="J23" s="107">
        <v>8.125163902527103</v>
      </c>
      <c r="K23" s="107">
        <v>8.356685368848431</v>
      </c>
      <c r="L23" s="107">
        <v>8.849407731027215</v>
      </c>
      <c r="M23" s="107">
        <v>9.334877707621793</v>
      </c>
      <c r="N23" s="205"/>
    </row>
    <row r="24" spans="2:14" ht="12.75">
      <c r="B24" s="11" t="s">
        <v>41</v>
      </c>
      <c r="C24" s="106">
        <v>2.504088670300514</v>
      </c>
      <c r="D24" s="107">
        <v>2.5522560453072023</v>
      </c>
      <c r="E24" s="107">
        <v>2.558615027371495</v>
      </c>
      <c r="F24" s="107">
        <v>2.497696568719958</v>
      </c>
      <c r="G24" s="107">
        <v>2.4853518489149398</v>
      </c>
      <c r="H24" s="107">
        <v>2.37754387735153</v>
      </c>
      <c r="I24" s="107">
        <v>2.228710245380998</v>
      </c>
      <c r="J24" s="107">
        <v>2.236845173778189</v>
      </c>
      <c r="K24" s="107">
        <v>2.2747529548537107</v>
      </c>
      <c r="L24" s="107">
        <v>2.2054970430215888</v>
      </c>
      <c r="M24" s="107">
        <v>2.177831180534695</v>
      </c>
      <c r="N24" s="205"/>
    </row>
    <row r="25" spans="2:14" ht="12.75">
      <c r="B25" s="11" t="s">
        <v>32</v>
      </c>
      <c r="C25" s="106">
        <v>4.1968881810176955</v>
      </c>
      <c r="D25" s="107">
        <v>4.22257886236311</v>
      </c>
      <c r="E25" s="107">
        <v>4.173371013765918</v>
      </c>
      <c r="F25" s="107">
        <v>4.254931939935639</v>
      </c>
      <c r="G25" s="107">
        <v>4.344932797791202</v>
      </c>
      <c r="H25" s="107">
        <v>4.486038249973052</v>
      </c>
      <c r="I25" s="107">
        <v>4.558920084251028</v>
      </c>
      <c r="J25" s="107">
        <v>4.684911778400048</v>
      </c>
      <c r="K25" s="107">
        <v>4.64532601943931</v>
      </c>
      <c r="L25" s="107">
        <v>4.686347400485894</v>
      </c>
      <c r="M25" s="107">
        <v>4.8071107468456615</v>
      </c>
      <c r="N25" s="205"/>
    </row>
    <row r="26" spans="2:14" ht="12.75">
      <c r="B26" s="11" t="s">
        <v>33</v>
      </c>
      <c r="C26" s="106">
        <v>1.9323557181496145</v>
      </c>
      <c r="D26" s="107">
        <v>1.9031978472425142</v>
      </c>
      <c r="E26" s="107">
        <v>1.9011229683284399</v>
      </c>
      <c r="F26" s="107">
        <v>1.8973685447603927</v>
      </c>
      <c r="G26" s="107">
        <v>1.9202392832900084</v>
      </c>
      <c r="H26" s="107">
        <v>2.025556469782653</v>
      </c>
      <c r="I26" s="107">
        <v>2.1339293525346337</v>
      </c>
      <c r="J26" s="107">
        <v>2.1720998748014844</v>
      </c>
      <c r="K26" s="107">
        <v>2.1710208735042538</v>
      </c>
      <c r="L26" s="107">
        <v>2.208169816244231</v>
      </c>
      <c r="M26" s="107">
        <v>2.2315371628584573</v>
      </c>
      <c r="N26" s="205"/>
    </row>
    <row r="27" spans="2:14" ht="12.75">
      <c r="B27" s="11" t="s">
        <v>7</v>
      </c>
      <c r="C27" s="106">
        <v>6.757983933545152</v>
      </c>
      <c r="D27" s="107">
        <v>7.376007736996005</v>
      </c>
      <c r="E27" s="107">
        <v>7.977479327133092</v>
      </c>
      <c r="F27" s="107">
        <v>8.680885655830007</v>
      </c>
      <c r="G27" s="107">
        <v>9.52469762434136</v>
      </c>
      <c r="H27" s="107">
        <v>10.281175922481074</v>
      </c>
      <c r="I27" s="107">
        <v>11.060729450323564</v>
      </c>
      <c r="J27" s="107">
        <v>11.784376778439448</v>
      </c>
      <c r="K27" s="107">
        <v>12.40621003154836</v>
      </c>
      <c r="L27" s="107">
        <v>12.507141624688444</v>
      </c>
      <c r="M27" s="107">
        <v>12.918298764717273</v>
      </c>
      <c r="N27" s="205"/>
    </row>
    <row r="28" spans="2:14" ht="12.75">
      <c r="B28" s="11" t="s">
        <v>34</v>
      </c>
      <c r="C28" s="106">
        <v>3.242878116546612</v>
      </c>
      <c r="D28" s="107">
        <v>3.0088322951452153</v>
      </c>
      <c r="E28" s="107">
        <v>3.5963990514728827</v>
      </c>
      <c r="F28" s="107">
        <v>3.798931085266595</v>
      </c>
      <c r="G28" s="107">
        <v>3.9938608514630043</v>
      </c>
      <c r="H28" s="107">
        <v>4.386734190863556</v>
      </c>
      <c r="I28" s="107">
        <v>4.8775779033119555</v>
      </c>
      <c r="J28" s="107">
        <v>5.399717499445654</v>
      </c>
      <c r="K28" s="107">
        <v>4.847036176624926</v>
      </c>
      <c r="L28" s="107">
        <v>4.888117725952039</v>
      </c>
      <c r="M28" s="107">
        <v>5.01746529384444</v>
      </c>
      <c r="N28" s="205"/>
    </row>
    <row r="29" spans="2:14" ht="12.75">
      <c r="B29" s="11" t="s">
        <v>8</v>
      </c>
      <c r="C29" s="106">
        <v>3.880355287398039</v>
      </c>
      <c r="D29" s="107">
        <v>4.2585689870679815</v>
      </c>
      <c r="E29" s="107">
        <v>4.740962888626626</v>
      </c>
      <c r="F29" s="107">
        <v>5.3520682712581635</v>
      </c>
      <c r="G29" s="107">
        <v>6.01773095623492</v>
      </c>
      <c r="H29" s="107">
        <v>6.590120828950047</v>
      </c>
      <c r="I29" s="107">
        <v>7.153483244291445</v>
      </c>
      <c r="J29" s="107">
        <v>7.602422866806582</v>
      </c>
      <c r="K29" s="107">
        <v>7.94728081350458</v>
      </c>
      <c r="L29" s="107">
        <v>8.460043623576897</v>
      </c>
      <c r="M29" s="107">
        <v>8.824142057305268</v>
      </c>
      <c r="N29" s="205"/>
    </row>
    <row r="30" spans="2:14" ht="12.75">
      <c r="B30" s="11" t="s">
        <v>35</v>
      </c>
      <c r="C30" s="106">
        <v>4.5229769853717245</v>
      </c>
      <c r="D30" s="107">
        <v>4.6761778383715376</v>
      </c>
      <c r="E30" s="107">
        <v>4.926137030182164</v>
      </c>
      <c r="F30" s="107">
        <v>5.486903324697169</v>
      </c>
      <c r="G30" s="107">
        <v>6.283475200820952</v>
      </c>
      <c r="H30" s="107">
        <v>6.933155287196161</v>
      </c>
      <c r="I30" s="107">
        <v>7.6543508891310905</v>
      </c>
      <c r="J30" s="107">
        <v>7.9924193446034835</v>
      </c>
      <c r="K30" s="107">
        <v>7.967369961834577</v>
      </c>
      <c r="L30" s="107">
        <v>8.210973908256532</v>
      </c>
      <c r="M30" s="107">
        <v>8.27416522535691</v>
      </c>
      <c r="N30" s="205"/>
    </row>
    <row r="31" spans="2:14" ht="12.75">
      <c r="B31" s="11" t="s">
        <v>9</v>
      </c>
      <c r="C31" s="106">
        <v>4.830861626558263</v>
      </c>
      <c r="D31" s="107">
        <v>5.088858850037177</v>
      </c>
      <c r="E31" s="107">
        <v>5.243897782636757</v>
      </c>
      <c r="F31" s="107">
        <v>5.5154091627148905</v>
      </c>
      <c r="G31" s="107">
        <v>5.706355606260727</v>
      </c>
      <c r="H31" s="107">
        <v>5.711797645468041</v>
      </c>
      <c r="I31" s="107">
        <v>5.645251990626045</v>
      </c>
      <c r="J31" s="107">
        <v>5.389645380169161</v>
      </c>
      <c r="K31" s="107">
        <v>5.137935019737972</v>
      </c>
      <c r="L31" s="107">
        <v>5.174147222520715</v>
      </c>
      <c r="M31" s="107">
        <v>5.017465908169295</v>
      </c>
      <c r="N31" s="205"/>
    </row>
    <row r="32" spans="2:14" ht="12.75">
      <c r="B32" s="14" t="s">
        <v>10</v>
      </c>
      <c r="C32" s="109">
        <v>2.0644320996617815</v>
      </c>
      <c r="D32" s="110">
        <v>2.198386797938829</v>
      </c>
      <c r="E32" s="110">
        <v>2.2733116790907775</v>
      </c>
      <c r="F32" s="110">
        <v>2.347599223517251</v>
      </c>
      <c r="G32" s="110">
        <v>2.481421591456903</v>
      </c>
      <c r="H32" s="110">
        <v>2.6476792674941456</v>
      </c>
      <c r="I32" s="110">
        <v>2.7753216384655155</v>
      </c>
      <c r="J32" s="110">
        <v>2.9238273741912644</v>
      </c>
      <c r="K32" s="110">
        <v>3.013665310574501</v>
      </c>
      <c r="L32" s="110">
        <v>3.0804357633347217</v>
      </c>
      <c r="M32" s="110">
        <v>3.134497751966528</v>
      </c>
      <c r="N32" s="205"/>
    </row>
    <row r="33" spans="2:14" ht="12.75">
      <c r="B33" s="17" t="s">
        <v>36</v>
      </c>
      <c r="C33" s="111">
        <v>0.8932707806585947</v>
      </c>
      <c r="D33" s="112">
        <v>0.8736255897439301</v>
      </c>
      <c r="E33" s="112">
        <v>0.8530519304980684</v>
      </c>
      <c r="F33" s="112">
        <v>0.8589976040037288</v>
      </c>
      <c r="G33" s="112">
        <v>0.8649192263490114</v>
      </c>
      <c r="H33" s="112">
        <v>0.8780422444443522</v>
      </c>
      <c r="I33" s="112">
        <v>0.8831707344490838</v>
      </c>
      <c r="J33" s="112">
        <v>0.8808445030103348</v>
      </c>
      <c r="K33" s="112">
        <v>0.8638351641416878</v>
      </c>
      <c r="L33" s="112">
        <v>0.8859272089293808</v>
      </c>
      <c r="M33" s="112">
        <v>0.9182775582452434</v>
      </c>
      <c r="N33" s="205"/>
    </row>
    <row r="34" spans="2:13" ht="12.75">
      <c r="B34" s="4" t="s">
        <v>80</v>
      </c>
      <c r="C34" s="113" t="s">
        <v>13</v>
      </c>
      <c r="D34" s="114" t="s">
        <v>13</v>
      </c>
      <c r="E34" s="114" t="s">
        <v>13</v>
      </c>
      <c r="F34" s="114" t="s">
        <v>13</v>
      </c>
      <c r="G34" s="114" t="s">
        <v>13</v>
      </c>
      <c r="H34" s="114" t="s">
        <v>13</v>
      </c>
      <c r="I34" s="114" t="s">
        <v>13</v>
      </c>
      <c r="J34" s="114" t="s">
        <v>13</v>
      </c>
      <c r="K34" s="114" t="s">
        <v>13</v>
      </c>
      <c r="L34" s="114" t="s">
        <v>13</v>
      </c>
      <c r="M34" s="114" t="s">
        <v>13</v>
      </c>
    </row>
    <row r="35" spans="2:13" ht="12.75">
      <c r="B35" s="197" t="s">
        <v>188</v>
      </c>
      <c r="C35" s="109">
        <v>7.546555187578044</v>
      </c>
      <c r="D35" s="110">
        <v>7.2988768886853945</v>
      </c>
      <c r="E35" s="110">
        <v>7.038484183482311</v>
      </c>
      <c r="F35" s="110">
        <v>7.176651958960183</v>
      </c>
      <c r="G35" s="110">
        <v>7.273208145993124</v>
      </c>
      <c r="H35" s="110">
        <v>7.110248202760141</v>
      </c>
      <c r="I35" s="110">
        <v>7.295846578769086</v>
      </c>
      <c r="J35" s="110">
        <v>6.916664515962527</v>
      </c>
      <c r="K35" s="110">
        <v>6.503648700550506</v>
      </c>
      <c r="L35" s="110">
        <v>6.385468606899359</v>
      </c>
      <c r="M35" s="110">
        <v>6.181947695125674</v>
      </c>
    </row>
    <row r="36" spans="2:13" ht="12.75">
      <c r="B36" s="14" t="s">
        <v>37</v>
      </c>
      <c r="C36" s="109">
        <v>1.602367719041232</v>
      </c>
      <c r="D36" s="110" t="s">
        <v>13</v>
      </c>
      <c r="E36" s="110">
        <v>1.7009943470539521</v>
      </c>
      <c r="F36" s="110">
        <v>1.7119343458026826</v>
      </c>
      <c r="G36" s="110">
        <v>1.7290703470330908</v>
      </c>
      <c r="H36" s="110">
        <v>1.7546579540559848</v>
      </c>
      <c r="I36" s="110">
        <v>1.805108355298175</v>
      </c>
      <c r="J36" s="110">
        <v>1.8326694711583247</v>
      </c>
      <c r="K36" s="110">
        <v>1.5571184239105131</v>
      </c>
      <c r="L36" s="110">
        <v>1.5986301142615944</v>
      </c>
      <c r="M36" s="110">
        <v>1.631997764256341</v>
      </c>
    </row>
    <row r="37" spans="2:13" ht="12.75">
      <c r="B37" s="17" t="s">
        <v>38</v>
      </c>
      <c r="C37" s="111">
        <v>1.3931977121703285</v>
      </c>
      <c r="D37" s="112">
        <v>1.362346769773716</v>
      </c>
      <c r="E37" s="112">
        <v>1.3622790727373506</v>
      </c>
      <c r="F37" s="112">
        <v>1.3507661586962896</v>
      </c>
      <c r="G37" s="112">
        <v>1.3362946950846541</v>
      </c>
      <c r="H37" s="112">
        <v>1.346514020883697</v>
      </c>
      <c r="I37" s="112">
        <v>1.3827564708965165</v>
      </c>
      <c r="J37" s="112">
        <v>1.392627706633242</v>
      </c>
      <c r="K37" s="112">
        <v>1.373078209519855</v>
      </c>
      <c r="L37" s="112">
        <v>1.3793670085484366</v>
      </c>
      <c r="M37" s="112">
        <v>1.414779011405191</v>
      </c>
    </row>
    <row r="38" spans="2:13" ht="12.75">
      <c r="B38" s="11" t="s">
        <v>189</v>
      </c>
      <c r="C38" s="106" t="s">
        <v>13</v>
      </c>
      <c r="D38" s="107">
        <v>1.7516373576713251</v>
      </c>
      <c r="E38" s="107">
        <v>1.8646798280400023</v>
      </c>
      <c r="F38" s="107">
        <v>1.9402151193001786</v>
      </c>
      <c r="G38" s="107">
        <v>2.0905043022557703</v>
      </c>
      <c r="H38" s="107">
        <v>2.239491152603428</v>
      </c>
      <c r="I38" s="107">
        <v>2.3567010873174943</v>
      </c>
      <c r="J38" s="107">
        <v>2.3692034803536615</v>
      </c>
      <c r="K38" s="107">
        <v>2.411659523372312</v>
      </c>
      <c r="L38" s="107">
        <v>2.6301909349836494</v>
      </c>
      <c r="M38" s="107">
        <v>2.7322938114456803</v>
      </c>
    </row>
    <row r="39" spans="2:13" ht="12.75">
      <c r="B39" s="4" t="s">
        <v>76</v>
      </c>
      <c r="C39" s="113" t="s">
        <v>13</v>
      </c>
      <c r="D39" s="114" t="s">
        <v>13</v>
      </c>
      <c r="E39" s="114" t="s">
        <v>13</v>
      </c>
      <c r="F39" s="114" t="s">
        <v>13</v>
      </c>
      <c r="G39" s="114">
        <v>2.083912421049926</v>
      </c>
      <c r="H39" s="114">
        <v>2.2575394587368383</v>
      </c>
      <c r="I39" s="114">
        <v>2.5105194300060107</v>
      </c>
      <c r="J39" s="114">
        <v>2.7031242713544406</v>
      </c>
      <c r="K39" s="114">
        <v>2.804721469087652</v>
      </c>
      <c r="L39" s="114">
        <v>3.1537212453637222</v>
      </c>
      <c r="M39" s="114">
        <v>3.255715310280516</v>
      </c>
    </row>
    <row r="40" spans="2:13" ht="12.75">
      <c r="B40" s="11" t="s">
        <v>190</v>
      </c>
      <c r="C40" s="106">
        <v>1.695745213438865</v>
      </c>
      <c r="D40" s="107">
        <v>3.128202620055913</v>
      </c>
      <c r="E40" s="107">
        <v>2.895229158527087</v>
      </c>
      <c r="F40" s="107">
        <v>2.6702040611967</v>
      </c>
      <c r="G40" s="107">
        <v>2.519395345117172</v>
      </c>
      <c r="H40" s="107">
        <v>2.379147314503674</v>
      </c>
      <c r="I40" s="107">
        <v>2.2214386857013473</v>
      </c>
      <c r="J40" s="107">
        <v>2.0800641648821183</v>
      </c>
      <c r="K40" s="107">
        <v>4.829989676975188</v>
      </c>
      <c r="L40" s="107">
        <v>5.282801209191613</v>
      </c>
      <c r="M40" s="107">
        <v>5.91042263564805</v>
      </c>
    </row>
    <row r="41" spans="2:13" ht="12.75">
      <c r="B41" s="11" t="s">
        <v>138</v>
      </c>
      <c r="C41" s="106">
        <v>2.045780087611175</v>
      </c>
      <c r="D41" s="107">
        <v>2.388456792603626</v>
      </c>
      <c r="E41" s="107">
        <v>2.536280212568119</v>
      </c>
      <c r="F41" s="107">
        <v>2.6317085393655515</v>
      </c>
      <c r="G41" s="107">
        <v>2.719773622246591</v>
      </c>
      <c r="H41" s="107">
        <v>2.784174440237826</v>
      </c>
      <c r="I41" s="107">
        <v>2.7022837258296537</v>
      </c>
      <c r="J41" s="107">
        <v>2.701980248090914</v>
      </c>
      <c r="K41" s="107">
        <v>2.734908217678973</v>
      </c>
      <c r="L41" s="107">
        <v>3.330767715013875</v>
      </c>
      <c r="M41" s="107">
        <v>3.4298361451711763</v>
      </c>
    </row>
    <row r="42" spans="2:13" ht="12.75">
      <c r="B42" s="11" t="s">
        <v>154</v>
      </c>
      <c r="C42" s="106" t="s">
        <v>13</v>
      </c>
      <c r="D42" s="107" t="s">
        <v>13</v>
      </c>
      <c r="E42" s="107" t="s">
        <v>13</v>
      </c>
      <c r="F42" s="107" t="s">
        <v>13</v>
      </c>
      <c r="G42" s="107" t="s">
        <v>13</v>
      </c>
      <c r="H42" s="107" t="s">
        <v>13</v>
      </c>
      <c r="I42" s="107" t="s">
        <v>13</v>
      </c>
      <c r="J42" s="107" t="s">
        <v>13</v>
      </c>
      <c r="K42" s="107" t="s">
        <v>13</v>
      </c>
      <c r="L42" s="107" t="s">
        <v>13</v>
      </c>
      <c r="M42" s="107" t="s">
        <v>13</v>
      </c>
    </row>
    <row r="43" spans="2:13" ht="12.75">
      <c r="B43" s="11" t="s">
        <v>77</v>
      </c>
      <c r="C43" s="106" t="s">
        <v>13</v>
      </c>
      <c r="D43" s="107" t="s">
        <v>13</v>
      </c>
      <c r="E43" s="107" t="s">
        <v>13</v>
      </c>
      <c r="F43" s="107" t="s">
        <v>13</v>
      </c>
      <c r="G43" s="107" t="s">
        <v>13</v>
      </c>
      <c r="H43" s="107" t="s">
        <v>13</v>
      </c>
      <c r="I43" s="107" t="s">
        <v>13</v>
      </c>
      <c r="J43" s="107" t="s">
        <v>13</v>
      </c>
      <c r="K43" s="107" t="s">
        <v>13</v>
      </c>
      <c r="L43" s="107" t="s">
        <v>13</v>
      </c>
      <c r="M43" s="107" t="s">
        <v>13</v>
      </c>
    </row>
    <row r="44" spans="2:13" ht="12.75">
      <c r="B44" s="11" t="s">
        <v>64</v>
      </c>
      <c r="C44" s="106" t="s">
        <v>13</v>
      </c>
      <c r="D44" s="107" t="s">
        <v>13</v>
      </c>
      <c r="E44" s="107" t="s">
        <v>13</v>
      </c>
      <c r="F44" s="107" t="s">
        <v>13</v>
      </c>
      <c r="G44" s="107" t="s">
        <v>13</v>
      </c>
      <c r="H44" s="107" t="s">
        <v>13</v>
      </c>
      <c r="I44" s="107" t="s">
        <v>13</v>
      </c>
      <c r="J44" s="107" t="s">
        <v>13</v>
      </c>
      <c r="K44" s="107" t="s">
        <v>13</v>
      </c>
      <c r="L44" s="107" t="s">
        <v>13</v>
      </c>
      <c r="M44" s="107" t="s">
        <v>13</v>
      </c>
    </row>
    <row r="45" spans="2:13" ht="12.75">
      <c r="B45" s="4" t="s">
        <v>93</v>
      </c>
      <c r="C45" s="113">
        <v>2.174040556526456</v>
      </c>
      <c r="D45" s="114">
        <v>2.3507763304844387</v>
      </c>
      <c r="E45" s="114">
        <v>2.538332007823733</v>
      </c>
      <c r="F45" s="114">
        <v>2.729110061558359</v>
      </c>
      <c r="G45" s="114">
        <v>2.8265284047129513</v>
      </c>
      <c r="H45" s="114">
        <v>2.8485769644486285</v>
      </c>
      <c r="I45" s="114">
        <v>2.878790543111118</v>
      </c>
      <c r="J45" s="114">
        <v>2.8701582419634986</v>
      </c>
      <c r="K45" s="114">
        <v>2.9742617661783988</v>
      </c>
      <c r="L45" s="114">
        <v>3.147639828700127</v>
      </c>
      <c r="M45" s="114">
        <v>3.40956623982542</v>
      </c>
    </row>
    <row r="46" spans="2:13" ht="12.75">
      <c r="B46" s="17" t="s">
        <v>157</v>
      </c>
      <c r="C46" s="111" t="s">
        <v>13</v>
      </c>
      <c r="D46" s="112" t="s">
        <v>13</v>
      </c>
      <c r="E46" s="112" t="s">
        <v>13</v>
      </c>
      <c r="F46" s="112" t="s">
        <v>13</v>
      </c>
      <c r="G46" s="112" t="s">
        <v>13</v>
      </c>
      <c r="H46" s="112" t="s">
        <v>13</v>
      </c>
      <c r="I46" s="112" t="s">
        <v>13</v>
      </c>
      <c r="J46" s="112" t="s">
        <v>13</v>
      </c>
      <c r="K46" s="112" t="s">
        <v>13</v>
      </c>
      <c r="L46" s="112" t="s">
        <v>13</v>
      </c>
      <c r="M46" s="112" t="s">
        <v>13</v>
      </c>
    </row>
    <row r="47" spans="2:13" ht="12.75">
      <c r="B47" s="11" t="s">
        <v>71</v>
      </c>
      <c r="C47" s="106" t="s">
        <v>13</v>
      </c>
      <c r="D47" s="107" t="s">
        <v>13</v>
      </c>
      <c r="E47" s="107" t="s">
        <v>13</v>
      </c>
      <c r="F47" s="107" t="s">
        <v>13</v>
      </c>
      <c r="G47" s="107" t="s">
        <v>13</v>
      </c>
      <c r="H47" s="107">
        <v>0.5265481460723512</v>
      </c>
      <c r="I47" s="107">
        <v>1.0943015015041775</v>
      </c>
      <c r="J47" s="107">
        <v>1.3164133627740073</v>
      </c>
      <c r="K47" s="107" t="s">
        <v>13</v>
      </c>
      <c r="L47" s="107">
        <v>1.390482656843133</v>
      </c>
      <c r="M47" s="107" t="s">
        <v>13</v>
      </c>
    </row>
    <row r="48" spans="2:13" ht="12.75">
      <c r="B48" s="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2:13" ht="12.75">
      <c r="B49" s="1" t="s">
        <v>263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ht="12.75">
      <c r="B50" s="1" t="s">
        <v>102</v>
      </c>
    </row>
    <row r="51" ht="14.25">
      <c r="B51" s="1" t="s">
        <v>251</v>
      </c>
    </row>
    <row r="52" ht="14.25">
      <c r="B52" s="1" t="s">
        <v>252</v>
      </c>
    </row>
    <row r="53" ht="14.25">
      <c r="B53" s="1" t="s">
        <v>253</v>
      </c>
    </row>
    <row r="54" ht="14.25">
      <c r="B54" s="1" t="s">
        <v>254</v>
      </c>
    </row>
    <row r="55" ht="12.75">
      <c r="B55" s="1" t="s">
        <v>73</v>
      </c>
    </row>
    <row r="56" ht="12.75">
      <c r="B56" s="1" t="s">
        <v>72</v>
      </c>
    </row>
    <row r="57" ht="15" customHeight="1">
      <c r="B57" s="32" t="s">
        <v>147</v>
      </c>
    </row>
    <row r="58" ht="12.75"/>
    <row r="59" ht="12.75"/>
    <row r="60" ht="12.75">
      <c r="B60" s="1"/>
    </row>
    <row r="61" ht="12.75">
      <c r="B61" s="1"/>
    </row>
    <row r="62" spans="2:26" ht="15">
      <c r="B62" s="1"/>
      <c r="R62" s="22"/>
      <c r="S62" s="22"/>
      <c r="T62" s="22"/>
      <c r="U62" s="22"/>
      <c r="V62" s="22"/>
      <c r="W62" s="22"/>
      <c r="X62" s="22"/>
      <c r="Y62" s="22"/>
      <c r="Z62" s="22"/>
    </row>
    <row r="63" ht="13">
      <c r="B63" s="32"/>
    </row>
    <row r="66" ht="15">
      <c r="B66" s="1"/>
    </row>
    <row r="68" spans="6:25" ht="13">
      <c r="F68" s="100"/>
      <c r="G68" s="99">
        <v>2012</v>
      </c>
      <c r="H68" s="99">
        <v>2015</v>
      </c>
      <c r="I68" s="99">
        <v>2016</v>
      </c>
      <c r="J68" s="99">
        <v>2017</v>
      </c>
      <c r="K68" s="99">
        <v>2018</v>
      </c>
      <c r="L68" s="99">
        <v>2019</v>
      </c>
      <c r="M68" s="99">
        <v>2020</v>
      </c>
      <c r="N68" s="99"/>
      <c r="O68" s="99">
        <v>2022</v>
      </c>
      <c r="Q68" s="22"/>
      <c r="R68" s="22"/>
      <c r="S68" s="22"/>
      <c r="T68" s="22"/>
      <c r="U68" s="22"/>
      <c r="W68" s="22"/>
      <c r="X68" s="22"/>
      <c r="Y68" s="22"/>
    </row>
    <row r="69" spans="6:25" ht="13">
      <c r="F69" s="4" t="s">
        <v>89</v>
      </c>
      <c r="G69" s="116">
        <v>3.305338272037585</v>
      </c>
      <c r="H69" s="116">
        <v>3.6853789801652117</v>
      </c>
      <c r="I69" s="116">
        <v>3.9018690429828284</v>
      </c>
      <c r="J69" s="116">
        <v>4.114912121687527</v>
      </c>
      <c r="K69" s="116">
        <v>4.336405913897256</v>
      </c>
      <c r="L69" s="116">
        <v>4.4956840240486855</v>
      </c>
      <c r="M69" s="116">
        <v>4.567338703786064</v>
      </c>
      <c r="N69" s="116"/>
      <c r="O69" s="116">
        <v>4.8</v>
      </c>
      <c r="Q69" s="22"/>
      <c r="R69" s="22"/>
      <c r="S69" s="22"/>
      <c r="T69" s="22"/>
      <c r="U69" s="22"/>
      <c r="W69" s="22"/>
      <c r="X69" s="22"/>
      <c r="Y69" s="22"/>
    </row>
    <row r="70" spans="6:25" ht="13">
      <c r="F70" s="4"/>
      <c r="G70" s="116"/>
      <c r="H70" s="116"/>
      <c r="I70" s="116"/>
      <c r="J70" s="116"/>
      <c r="K70" s="116"/>
      <c r="L70" s="116"/>
      <c r="M70" s="116"/>
      <c r="N70" s="116"/>
      <c r="O70" s="116"/>
      <c r="Q70" s="22"/>
      <c r="R70" s="22"/>
      <c r="S70" s="22"/>
      <c r="T70" s="22"/>
      <c r="U70" s="22"/>
      <c r="W70" s="22"/>
      <c r="X70" s="22"/>
      <c r="Y70" s="22"/>
    </row>
    <row r="71" spans="4:25" ht="13">
      <c r="D71" s="22"/>
      <c r="F71" s="4" t="s">
        <v>30</v>
      </c>
      <c r="G71" s="13">
        <v>8.556801109052948</v>
      </c>
      <c r="H71" s="13">
        <v>8.57902108941555</v>
      </c>
      <c r="I71" s="13">
        <v>9.880248772430532</v>
      </c>
      <c r="J71" s="13">
        <v>11.00572786296135</v>
      </c>
      <c r="K71" s="13">
        <v>12.856347327162421</v>
      </c>
      <c r="L71" s="13">
        <v>14.460522030428512</v>
      </c>
      <c r="M71" s="13">
        <v>15.01745550277571</v>
      </c>
      <c r="N71" s="13"/>
      <c r="O71" s="13">
        <v>17.26844255724898</v>
      </c>
      <c r="Q71" s="22"/>
      <c r="R71" s="22"/>
      <c r="S71" s="22"/>
      <c r="T71" s="22"/>
      <c r="U71" s="22"/>
      <c r="W71" s="22"/>
      <c r="X71" s="22"/>
      <c r="Y71" s="22"/>
    </row>
    <row r="72" spans="4:25" ht="13">
      <c r="D72" s="22"/>
      <c r="F72" s="4" t="s">
        <v>7</v>
      </c>
      <c r="G72" s="13">
        <v>6.757983933545152</v>
      </c>
      <c r="H72" s="13">
        <v>8.680885655830007</v>
      </c>
      <c r="I72" s="13">
        <v>9.52469762434136</v>
      </c>
      <c r="J72" s="13">
        <v>10.281175922481074</v>
      </c>
      <c r="K72" s="13">
        <v>11.060729450323564</v>
      </c>
      <c r="L72" s="13">
        <v>11.784376778439448</v>
      </c>
      <c r="M72" s="13">
        <v>12.40621003154836</v>
      </c>
      <c r="N72" s="13"/>
      <c r="O72" s="13">
        <v>12.918298764717273</v>
      </c>
      <c r="Q72" s="22"/>
      <c r="R72" s="22"/>
      <c r="S72" s="22"/>
      <c r="T72" s="22"/>
      <c r="U72" s="22"/>
      <c r="W72" s="22"/>
      <c r="X72" s="22"/>
      <c r="Y72" s="22"/>
    </row>
    <row r="73" spans="4:25" ht="13">
      <c r="D73" s="22"/>
      <c r="F73" s="4" t="s">
        <v>3</v>
      </c>
      <c r="G73" s="13">
        <v>7.3210046554469335</v>
      </c>
      <c r="H73" s="13">
        <v>8.216915005501754</v>
      </c>
      <c r="I73" s="13">
        <v>8.63841414982119</v>
      </c>
      <c r="J73" s="13">
        <v>8.996060291115453</v>
      </c>
      <c r="K73" s="13">
        <v>9.206533717788076</v>
      </c>
      <c r="L73" s="13">
        <v>9.774442879329648</v>
      </c>
      <c r="M73" s="13">
        <v>9.716796434468012</v>
      </c>
      <c r="N73" s="13"/>
      <c r="O73" s="13">
        <v>9.483772252421424</v>
      </c>
      <c r="Q73" s="22"/>
      <c r="R73" s="22"/>
      <c r="S73" s="22"/>
      <c r="T73" s="22"/>
      <c r="U73" s="22"/>
      <c r="W73" s="22"/>
      <c r="X73" s="22"/>
      <c r="Y73" s="22"/>
    </row>
    <row r="74" spans="4:25" ht="13">
      <c r="D74" s="22"/>
      <c r="F74" s="4" t="s">
        <v>6</v>
      </c>
      <c r="G74" s="13">
        <v>5.308010113840245</v>
      </c>
      <c r="H74" s="13">
        <v>6.555322550209882</v>
      </c>
      <c r="I74" s="13">
        <v>6.952444593098221</v>
      </c>
      <c r="J74" s="13">
        <v>7.422401952227012</v>
      </c>
      <c r="K74" s="13">
        <v>7.86574432023065</v>
      </c>
      <c r="L74" s="13">
        <v>8.125163902527103</v>
      </c>
      <c r="M74" s="13">
        <v>8.356685368848431</v>
      </c>
      <c r="N74" s="13"/>
      <c r="O74" s="13">
        <v>9.334877707621793</v>
      </c>
      <c r="Q74" s="22"/>
      <c r="R74" s="22"/>
      <c r="S74" s="22"/>
      <c r="T74" s="22"/>
      <c r="U74" s="22"/>
      <c r="W74" s="22"/>
      <c r="X74" s="22"/>
      <c r="Y74" s="22"/>
    </row>
    <row r="75" spans="4:25" ht="13">
      <c r="D75" s="22"/>
      <c r="F75" s="4" t="s">
        <v>8</v>
      </c>
      <c r="G75" s="13">
        <v>3.880355287398039</v>
      </c>
      <c r="H75" s="13">
        <v>5.3520682712581635</v>
      </c>
      <c r="I75" s="13">
        <v>6.01773095623492</v>
      </c>
      <c r="J75" s="13">
        <v>6.590120828950047</v>
      </c>
      <c r="K75" s="13">
        <v>7.153483244291445</v>
      </c>
      <c r="L75" s="13">
        <v>7.602422866806582</v>
      </c>
      <c r="M75" s="13">
        <v>7.94728081350458</v>
      </c>
      <c r="N75" s="13"/>
      <c r="O75" s="13">
        <v>8.824142057305268</v>
      </c>
      <c r="Q75" s="22"/>
      <c r="R75" s="22"/>
      <c r="S75" s="22"/>
      <c r="T75" s="22"/>
      <c r="U75" s="22"/>
      <c r="W75" s="22"/>
      <c r="X75" s="22"/>
      <c r="Y75" s="22"/>
    </row>
    <row r="76" spans="4:25" ht="13">
      <c r="D76" s="22"/>
      <c r="F76" s="4" t="s">
        <v>35</v>
      </c>
      <c r="G76" s="13">
        <v>4.5229769853717245</v>
      </c>
      <c r="H76" s="13">
        <v>5.486903324697169</v>
      </c>
      <c r="I76" s="13">
        <v>6.283475200820952</v>
      </c>
      <c r="J76" s="13">
        <v>6.933155287196161</v>
      </c>
      <c r="K76" s="13">
        <v>7.6543508891310905</v>
      </c>
      <c r="L76" s="13">
        <v>7.9924193446034835</v>
      </c>
      <c r="M76" s="13">
        <v>7.967369961834577</v>
      </c>
      <c r="N76" s="13"/>
      <c r="O76" s="13">
        <v>8.27416522535691</v>
      </c>
      <c r="Q76" s="22"/>
      <c r="R76" s="22"/>
      <c r="S76" s="22"/>
      <c r="T76" s="22"/>
      <c r="U76" s="22"/>
      <c r="W76" s="22"/>
      <c r="X76" s="22"/>
      <c r="Y76" s="22"/>
    </row>
    <row r="77" spans="4:25" ht="13">
      <c r="D77" s="22"/>
      <c r="F77" s="4" t="s">
        <v>29</v>
      </c>
      <c r="G77" s="13">
        <v>6.265363853099947</v>
      </c>
      <c r="H77" s="13">
        <v>6.7949680973225925</v>
      </c>
      <c r="I77" s="13">
        <v>6.94368950359876</v>
      </c>
      <c r="J77" s="13">
        <v>7.398756913717529</v>
      </c>
      <c r="K77" s="13">
        <v>7.699086651444191</v>
      </c>
      <c r="L77" s="13">
        <v>7.803215956596381</v>
      </c>
      <c r="M77" s="13">
        <v>7.751860187627131</v>
      </c>
      <c r="N77" s="13"/>
      <c r="O77" s="13">
        <v>8.129785137998866</v>
      </c>
      <c r="Q77" s="22"/>
      <c r="R77" s="22"/>
      <c r="S77" s="22"/>
      <c r="T77" s="22"/>
      <c r="U77" s="22"/>
      <c r="W77" s="22"/>
      <c r="X77" s="22"/>
      <c r="Y77" s="22"/>
    </row>
    <row r="78" spans="4:25" ht="13">
      <c r="D78" s="22"/>
      <c r="F78" s="4" t="s">
        <v>31</v>
      </c>
      <c r="G78" s="13">
        <v>9.187414694277324</v>
      </c>
      <c r="H78" s="13">
        <v>7.812594902550807</v>
      </c>
      <c r="I78" s="13">
        <v>7.6455938794616936</v>
      </c>
      <c r="J78" s="13">
        <v>7.667710401076404</v>
      </c>
      <c r="K78" s="13">
        <v>7.8482604488722805</v>
      </c>
      <c r="L78" s="13">
        <v>7.945913484574546</v>
      </c>
      <c r="M78" s="13">
        <v>7.7040631449592745</v>
      </c>
      <c r="N78" s="13"/>
      <c r="O78" s="13">
        <v>7.770132083189316</v>
      </c>
      <c r="Q78" s="22"/>
      <c r="R78" s="22"/>
      <c r="S78" s="22"/>
      <c r="T78" s="22"/>
      <c r="U78" s="22"/>
      <c r="W78" s="22"/>
      <c r="X78" s="22"/>
      <c r="Y78" s="22"/>
    </row>
    <row r="79" spans="4:25" ht="12" customHeight="1">
      <c r="D79" s="22"/>
      <c r="F79" s="4" t="s">
        <v>1</v>
      </c>
      <c r="G79" s="13">
        <v>4.841203686925428</v>
      </c>
      <c r="H79" s="13">
        <v>6.683036557995042</v>
      </c>
      <c r="I79" s="13">
        <v>7.274151739706463</v>
      </c>
      <c r="J79" s="13">
        <v>7.148334320089804</v>
      </c>
      <c r="K79" s="13">
        <v>7.30595929536964</v>
      </c>
      <c r="L79" s="13">
        <v>7.287654632494194</v>
      </c>
      <c r="M79" s="13">
        <v>7.142291212321522</v>
      </c>
      <c r="N79" s="13"/>
      <c r="O79" s="13">
        <v>7.1167988898496795</v>
      </c>
      <c r="Q79" s="22"/>
      <c r="R79" s="22"/>
      <c r="S79" s="22"/>
      <c r="T79" s="22"/>
      <c r="U79" s="22"/>
      <c r="W79" s="22"/>
      <c r="X79" s="22"/>
      <c r="Y79" s="22"/>
    </row>
    <row r="80" spans="4:25" ht="13">
      <c r="D80" s="22"/>
      <c r="F80" s="4" t="s">
        <v>27</v>
      </c>
      <c r="G80" s="13">
        <v>3.44627159497251</v>
      </c>
      <c r="H80" s="13">
        <v>4.213104713665662</v>
      </c>
      <c r="I80" s="13">
        <v>4.464750104152285</v>
      </c>
      <c r="J80" s="13">
        <v>4.671672848434068</v>
      </c>
      <c r="K80" s="13">
        <v>4.80907837005556</v>
      </c>
      <c r="L80" s="13">
        <v>4.91079998243917</v>
      </c>
      <c r="M80" s="13">
        <v>4.963385595320715</v>
      </c>
      <c r="N80" s="13"/>
      <c r="O80" s="13">
        <v>5.101438954719495</v>
      </c>
      <c r="Q80" s="22"/>
      <c r="R80" s="22"/>
      <c r="S80" s="22"/>
      <c r="T80" s="22"/>
      <c r="U80" s="22"/>
      <c r="W80" s="22"/>
      <c r="X80" s="22"/>
      <c r="Y80" s="22"/>
    </row>
    <row r="81" spans="4:25" ht="13">
      <c r="D81" s="22"/>
      <c r="F81" s="4" t="s">
        <v>9</v>
      </c>
      <c r="G81" s="13">
        <v>4.830861626558263</v>
      </c>
      <c r="H81" s="13">
        <v>5.5154091627148905</v>
      </c>
      <c r="I81" s="13">
        <v>5.706355606260727</v>
      </c>
      <c r="J81" s="13">
        <v>5.711797645468041</v>
      </c>
      <c r="K81" s="13">
        <v>5.645251990626045</v>
      </c>
      <c r="L81" s="13">
        <v>5.389645380169161</v>
      </c>
      <c r="M81" s="13">
        <v>5.137935019737972</v>
      </c>
      <c r="N81" s="13"/>
      <c r="O81" s="13">
        <v>5.017465908169295</v>
      </c>
      <c r="Q81" s="22"/>
      <c r="R81" s="22"/>
      <c r="S81" s="22"/>
      <c r="T81" s="22"/>
      <c r="U81" s="22"/>
      <c r="W81" s="22"/>
      <c r="X81" s="22"/>
      <c r="Y81" s="22"/>
    </row>
    <row r="82" spans="4:25" ht="13">
      <c r="D82" s="22"/>
      <c r="F82" s="4" t="s">
        <v>34</v>
      </c>
      <c r="G82" s="13">
        <v>3.242878116546612</v>
      </c>
      <c r="H82" s="13">
        <v>3.798931085266595</v>
      </c>
      <c r="I82" s="13">
        <v>3.9938608514630043</v>
      </c>
      <c r="J82" s="13">
        <v>4.386734190863556</v>
      </c>
      <c r="K82" s="13">
        <v>4.8775779033119555</v>
      </c>
      <c r="L82" s="13">
        <v>5.399717499445654</v>
      </c>
      <c r="M82" s="13">
        <v>4.847036176624926</v>
      </c>
      <c r="N82" s="13"/>
      <c r="O82" s="13">
        <v>5.01746529384444</v>
      </c>
      <c r="Q82" s="22"/>
      <c r="R82" s="22"/>
      <c r="S82" s="22"/>
      <c r="T82" s="22"/>
      <c r="U82" s="22"/>
      <c r="W82" s="22"/>
      <c r="X82" s="22"/>
      <c r="Y82" s="22"/>
    </row>
    <row r="83" spans="4:25" ht="13">
      <c r="D83" s="22"/>
      <c r="F83" s="4" t="s">
        <v>32</v>
      </c>
      <c r="G83" s="13">
        <v>4.1968881810176955</v>
      </c>
      <c r="H83" s="13">
        <v>4.254931939935639</v>
      </c>
      <c r="I83" s="13">
        <v>4.344932797791202</v>
      </c>
      <c r="J83" s="13">
        <v>4.486038249973052</v>
      </c>
      <c r="K83" s="13">
        <v>4.558920084251028</v>
      </c>
      <c r="L83" s="13">
        <v>4.684911778400048</v>
      </c>
      <c r="M83" s="13">
        <v>4.64532601943931</v>
      </c>
      <c r="N83" s="13"/>
      <c r="O83" s="13">
        <v>4.8071107468456615</v>
      </c>
      <c r="Q83" s="22"/>
      <c r="R83" s="22"/>
      <c r="S83" s="22"/>
      <c r="T83" s="22"/>
      <c r="U83" s="22"/>
      <c r="W83" s="22"/>
      <c r="X83" s="22"/>
      <c r="Y83" s="22"/>
    </row>
    <row r="84" spans="4:25" ht="13">
      <c r="D84" s="22"/>
      <c r="F84" s="4" t="s">
        <v>23</v>
      </c>
      <c r="G84" s="13">
        <v>4.199507019858369</v>
      </c>
      <c r="H84" s="13">
        <v>3.9652140456154776</v>
      </c>
      <c r="I84" s="13">
        <v>4.0301356789147595</v>
      </c>
      <c r="J84" s="13">
        <v>4.165252383430967</v>
      </c>
      <c r="K84" s="13">
        <v>4.3847860581436775</v>
      </c>
      <c r="L84" s="13">
        <v>4.57316332304616</v>
      </c>
      <c r="M84" s="13">
        <v>4.569715685309794</v>
      </c>
      <c r="N84" s="13"/>
      <c r="O84" s="13">
        <v>4.694960949347957</v>
      </c>
      <c r="Q84" s="22"/>
      <c r="R84" s="22"/>
      <c r="S84" s="22"/>
      <c r="T84" s="22"/>
      <c r="U84" s="22"/>
      <c r="W84" s="22"/>
      <c r="X84" s="22"/>
      <c r="Y84" s="22"/>
    </row>
    <row r="85" spans="4:25" ht="13">
      <c r="D85" s="22"/>
      <c r="F85" s="4" t="s">
        <v>5</v>
      </c>
      <c r="G85" s="13">
        <v>1.8002693482616714</v>
      </c>
      <c r="H85" s="13">
        <v>2.2261362088010292</v>
      </c>
      <c r="I85" s="13">
        <v>2.5138335468113935</v>
      </c>
      <c r="J85" s="13">
        <v>2.760691590510567</v>
      </c>
      <c r="K85" s="13">
        <v>3.0000642748254154</v>
      </c>
      <c r="L85" s="13">
        <v>3.197504290732388</v>
      </c>
      <c r="M85" s="13">
        <v>3.414219016910059</v>
      </c>
      <c r="N85" s="13"/>
      <c r="O85" s="13">
        <v>3.987929579353987</v>
      </c>
      <c r="Q85" s="22"/>
      <c r="R85" s="22"/>
      <c r="S85" s="22"/>
      <c r="T85" s="22"/>
      <c r="U85" s="22"/>
      <c r="W85" s="22"/>
      <c r="X85" s="22"/>
      <c r="Y85" s="22"/>
    </row>
    <row r="86" spans="4:25" ht="13">
      <c r="D86" s="22"/>
      <c r="F86" s="4" t="s">
        <v>28</v>
      </c>
      <c r="G86" s="13">
        <v>2.592886176004659</v>
      </c>
      <c r="H86" s="13">
        <v>2.536167519520263</v>
      </c>
      <c r="I86" s="13">
        <v>2.675251440246729</v>
      </c>
      <c r="J86" s="13">
        <v>2.861204240005861</v>
      </c>
      <c r="K86" s="13">
        <v>3.071585074616236</v>
      </c>
      <c r="L86" s="13">
        <v>3.1907822286392316</v>
      </c>
      <c r="M86" s="13">
        <v>3.2998226946074354</v>
      </c>
      <c r="N86" s="13"/>
      <c r="O86" s="13">
        <f>ROUND(213731*1000/59058615,1)</f>
        <v>3.6</v>
      </c>
      <c r="Q86" s="22"/>
      <c r="R86" s="22"/>
      <c r="S86" s="22"/>
      <c r="T86" s="22"/>
      <c r="U86" s="22"/>
      <c r="W86" s="22"/>
      <c r="X86" s="22"/>
      <c r="Y86" s="22"/>
    </row>
    <row r="87" spans="4:25" ht="13">
      <c r="D87" s="22"/>
      <c r="F87" s="4" t="s">
        <v>4</v>
      </c>
      <c r="G87" s="13">
        <v>3.0316149227862352</v>
      </c>
      <c r="H87" s="13">
        <v>2.9165470096659445</v>
      </c>
      <c r="I87" s="13">
        <v>2.9665401263790336</v>
      </c>
      <c r="J87" s="13">
        <v>3.06392017548236</v>
      </c>
      <c r="K87" s="13">
        <v>3.1733775210547748</v>
      </c>
      <c r="L87" s="13">
        <v>3.2352688826785703</v>
      </c>
      <c r="M87" s="13">
        <v>3.195087219914213</v>
      </c>
      <c r="N87" s="13"/>
      <c r="O87" s="13">
        <v>3.283522823508058</v>
      </c>
      <c r="Q87" s="22"/>
      <c r="R87" s="22"/>
      <c r="S87" s="22"/>
      <c r="T87" s="22"/>
      <c r="U87" s="22"/>
      <c r="W87" s="22"/>
      <c r="X87" s="22"/>
      <c r="Y87" s="22"/>
    </row>
    <row r="88" spans="4:25" ht="13">
      <c r="D88" s="22"/>
      <c r="F88" s="4" t="s">
        <v>25</v>
      </c>
      <c r="G88" s="13">
        <v>1.830890374571102</v>
      </c>
      <c r="H88" s="13">
        <v>2.57051731528731</v>
      </c>
      <c r="I88" s="13">
        <v>2.732640760574561</v>
      </c>
      <c r="J88" s="13">
        <v>2.832689355232453</v>
      </c>
      <c r="K88" s="13">
        <v>2.92501998270884</v>
      </c>
      <c r="L88" s="13">
        <v>2.99469829426884</v>
      </c>
      <c r="M88" s="13">
        <v>3.0657224742146134</v>
      </c>
      <c r="N88" s="13"/>
      <c r="O88" s="13">
        <v>3.223052137801375</v>
      </c>
      <c r="Q88" s="22"/>
      <c r="R88" s="22"/>
      <c r="S88" s="22"/>
      <c r="T88" s="22"/>
      <c r="U88" s="22"/>
      <c r="W88" s="22"/>
      <c r="X88" s="22"/>
      <c r="Y88" s="22"/>
    </row>
    <row r="89" spans="4:25" ht="13">
      <c r="D89" s="22"/>
      <c r="F89" s="4" t="s">
        <v>10</v>
      </c>
      <c r="G89" s="13">
        <v>2.0644320996617815</v>
      </c>
      <c r="H89" s="13">
        <v>2.347599223517251</v>
      </c>
      <c r="I89" s="13">
        <v>2.481421591456903</v>
      </c>
      <c r="J89" s="13">
        <v>2.6476792674941456</v>
      </c>
      <c r="K89" s="13">
        <v>2.7753216384655155</v>
      </c>
      <c r="L89" s="13">
        <v>2.9238273741912644</v>
      </c>
      <c r="M89" s="13">
        <v>3.013665310574501</v>
      </c>
      <c r="N89" s="13"/>
      <c r="O89" s="13">
        <v>3.134497751966528</v>
      </c>
      <c r="Q89" s="22"/>
      <c r="R89" s="22"/>
      <c r="S89" s="22"/>
      <c r="T89" s="22"/>
      <c r="U89" s="22"/>
      <c r="W89" s="22"/>
      <c r="X89" s="22"/>
      <c r="Y89" s="22"/>
    </row>
    <row r="90" spans="4:25" ht="13">
      <c r="D90" s="22"/>
      <c r="F90" s="4" t="s">
        <v>57</v>
      </c>
      <c r="G90" s="13">
        <v>2.270497947276323</v>
      </c>
      <c r="H90" s="13">
        <v>2.3654929358421892</v>
      </c>
      <c r="I90" s="13">
        <v>2.4476484977827577</v>
      </c>
      <c r="J90" s="13">
        <v>2.5478319851069333</v>
      </c>
      <c r="K90" s="13">
        <v>2.6313667897574504</v>
      </c>
      <c r="L90" s="13">
        <v>2.6350567115729753</v>
      </c>
      <c r="M90" s="13">
        <v>2.6272493362428064</v>
      </c>
      <c r="N90" s="13"/>
      <c r="O90" s="13">
        <v>2.6958344143750996</v>
      </c>
      <c r="Q90" s="22"/>
      <c r="R90" s="22"/>
      <c r="S90" s="22"/>
      <c r="T90" s="22"/>
      <c r="U90" s="22"/>
      <c r="W90" s="22"/>
      <c r="X90" s="22"/>
      <c r="Y90" s="22"/>
    </row>
    <row r="91" spans="4:25" ht="13">
      <c r="D91" s="22"/>
      <c r="F91" s="4" t="s">
        <v>24</v>
      </c>
      <c r="G91" s="13">
        <v>2.2469812380904104</v>
      </c>
      <c r="H91" s="13">
        <v>2.300056542107575</v>
      </c>
      <c r="I91" s="13">
        <v>2.372681873284524</v>
      </c>
      <c r="J91" s="13">
        <v>2.444133474250111</v>
      </c>
      <c r="K91" s="13">
        <v>2.504098719945519</v>
      </c>
      <c r="L91" s="13">
        <v>2.5046528598192985</v>
      </c>
      <c r="M91" s="13">
        <v>2.5126518716893447</v>
      </c>
      <c r="N91" s="13"/>
      <c r="O91" s="13">
        <v>2.6612815750954244</v>
      </c>
      <c r="Q91" s="22"/>
      <c r="R91" s="22"/>
      <c r="S91" s="22"/>
      <c r="T91" s="22"/>
      <c r="U91" s="22"/>
      <c r="W91" s="22"/>
      <c r="X91" s="22"/>
      <c r="Y91" s="22"/>
    </row>
    <row r="92" spans="4:25" ht="13">
      <c r="D92" s="22"/>
      <c r="F92" s="4" t="s">
        <v>26</v>
      </c>
      <c r="G92" s="13">
        <v>2.0374213383510784</v>
      </c>
      <c r="H92" s="13">
        <v>2.021467860710395</v>
      </c>
      <c r="I92" s="13">
        <v>2.071006713939841</v>
      </c>
      <c r="J92" s="13">
        <v>2.063090921701696</v>
      </c>
      <c r="K92" s="13">
        <v>2.107211654253926</v>
      </c>
      <c r="L92" s="13">
        <v>2.1946967714428194</v>
      </c>
      <c r="M92" s="13">
        <v>2.317712605884349</v>
      </c>
      <c r="N92" s="13"/>
      <c r="O92" s="13">
        <v>2.3346519411144313</v>
      </c>
      <c r="Q92" s="22"/>
      <c r="R92" s="22"/>
      <c r="S92" s="22"/>
      <c r="T92" s="22"/>
      <c r="U92" s="22"/>
      <c r="W92" s="22"/>
      <c r="X92" s="22"/>
      <c r="Y92" s="22"/>
    </row>
    <row r="93" spans="4:25" ht="13">
      <c r="D93" s="22"/>
      <c r="F93" s="4" t="s">
        <v>40</v>
      </c>
      <c r="G93" s="30">
        <v>2.197769200741906</v>
      </c>
      <c r="H93" s="30">
        <v>1.9296986157329965</v>
      </c>
      <c r="I93" s="30">
        <v>2.111600113242599</v>
      </c>
      <c r="J93" s="30">
        <v>2.173017555389963</v>
      </c>
      <c r="K93" s="30">
        <v>2.281084919608311</v>
      </c>
      <c r="L93" s="30">
        <v>2.3378246744106175</v>
      </c>
      <c r="M93" s="30">
        <v>2.3537762539801586</v>
      </c>
      <c r="N93" s="30"/>
      <c r="O93" s="30">
        <v>2.276443133197841</v>
      </c>
      <c r="Q93" s="22"/>
      <c r="R93" s="22"/>
      <c r="S93" s="22"/>
      <c r="T93" s="22"/>
      <c r="U93" s="22"/>
      <c r="W93" s="22"/>
      <c r="X93" s="22"/>
      <c r="Y93" s="22"/>
    </row>
    <row r="94" spans="4:25" ht="13">
      <c r="D94" s="22"/>
      <c r="F94" s="4" t="s">
        <v>33</v>
      </c>
      <c r="G94" s="13">
        <v>1.9323557181496145</v>
      </c>
      <c r="H94" s="13">
        <v>1.8973685447603927</v>
      </c>
      <c r="I94" s="13">
        <v>1.9202392832900084</v>
      </c>
      <c r="J94" s="13">
        <v>2.025556469782653</v>
      </c>
      <c r="K94" s="13">
        <v>2.1339293525346337</v>
      </c>
      <c r="L94" s="13">
        <v>2.1720998748014844</v>
      </c>
      <c r="M94" s="13">
        <v>2.1710208735042538</v>
      </c>
      <c r="N94" s="13"/>
      <c r="O94" s="13">
        <v>2.2315371628584573</v>
      </c>
      <c r="Q94" s="22"/>
      <c r="R94" s="22"/>
      <c r="S94" s="22"/>
      <c r="T94" s="22"/>
      <c r="U94" s="22"/>
      <c r="W94" s="22"/>
      <c r="X94" s="22"/>
      <c r="Y94" s="22"/>
    </row>
    <row r="95" spans="4:25" ht="13">
      <c r="D95" s="22"/>
      <c r="F95" s="4" t="s">
        <v>41</v>
      </c>
      <c r="G95" s="13">
        <v>2.504088670300514</v>
      </c>
      <c r="H95" s="13">
        <v>2.497696568719958</v>
      </c>
      <c r="I95" s="13">
        <v>2.4853518489149398</v>
      </c>
      <c r="J95" s="13">
        <v>2.37754387735153</v>
      </c>
      <c r="K95" s="13">
        <v>2.228710245380998</v>
      </c>
      <c r="L95" s="13">
        <v>2.236845173778189</v>
      </c>
      <c r="M95" s="13">
        <v>2.2747529548537107</v>
      </c>
      <c r="N95" s="13"/>
      <c r="O95" s="13">
        <v>2.177831180534695</v>
      </c>
      <c r="Q95" s="22"/>
      <c r="R95" s="22"/>
      <c r="S95" s="22"/>
      <c r="T95" s="22"/>
      <c r="U95" s="22"/>
      <c r="W95" s="22"/>
      <c r="X95" s="22"/>
      <c r="Y95" s="22"/>
    </row>
    <row r="96" spans="4:25" ht="13">
      <c r="D96" s="22"/>
      <c r="F96" s="4" t="s">
        <v>36</v>
      </c>
      <c r="G96" s="13">
        <v>0.8932707806585947</v>
      </c>
      <c r="H96" s="13">
        <v>0.8589976040037288</v>
      </c>
      <c r="I96" s="13">
        <v>0.8649192263490114</v>
      </c>
      <c r="J96" s="13">
        <v>0.8780422444443522</v>
      </c>
      <c r="K96" s="13">
        <v>0.8831707344490838</v>
      </c>
      <c r="L96" s="13">
        <v>0.8808445030103348</v>
      </c>
      <c r="M96" s="13">
        <v>0.8638351641416878</v>
      </c>
      <c r="N96" s="13"/>
      <c r="O96" s="13">
        <v>0.9182775582452434</v>
      </c>
      <c r="Q96" s="22"/>
      <c r="R96" s="22"/>
      <c r="S96" s="22"/>
      <c r="T96" s="22"/>
      <c r="U96" s="22"/>
      <c r="W96" s="22"/>
      <c r="X96" s="22"/>
      <c r="Y96" s="22"/>
    </row>
    <row r="97" spans="4:25" ht="13">
      <c r="D97" s="22"/>
      <c r="F97" s="4" t="s">
        <v>56</v>
      </c>
      <c r="G97" s="13">
        <v>0.8289174957505735</v>
      </c>
      <c r="H97" s="13">
        <v>0.5005759513382945</v>
      </c>
      <c r="I97" s="13">
        <v>0.4242439137824445</v>
      </c>
      <c r="J97" s="13">
        <v>0.3894419020448056</v>
      </c>
      <c r="K97" s="13">
        <v>0.4093973595748277</v>
      </c>
      <c r="L97" s="13">
        <v>0.37320205398590733</v>
      </c>
      <c r="M97" s="13">
        <v>0.35312605170771605</v>
      </c>
      <c r="N97" s="13"/>
      <c r="O97" s="13">
        <v>0.3156726883747809</v>
      </c>
      <c r="Q97" s="22"/>
      <c r="R97" s="22"/>
      <c r="S97" s="22"/>
      <c r="T97" s="22"/>
      <c r="U97" s="22"/>
      <c r="W97" s="22"/>
      <c r="X97" s="22"/>
      <c r="Y97" s="22"/>
    </row>
    <row r="98" spans="6:25" ht="13">
      <c r="F98" s="4"/>
      <c r="G98" s="13"/>
      <c r="H98" s="13"/>
      <c r="I98" s="13"/>
      <c r="J98" s="13"/>
      <c r="K98" s="13"/>
      <c r="L98" s="13"/>
      <c r="M98" s="13"/>
      <c r="N98" s="13"/>
      <c r="O98" s="13"/>
      <c r="Q98" s="22"/>
      <c r="R98" s="22"/>
      <c r="S98" s="22"/>
      <c r="T98" s="22"/>
      <c r="U98" s="22"/>
      <c r="W98" s="22"/>
      <c r="X98" s="22"/>
      <c r="Y98" s="22"/>
    </row>
    <row r="99" spans="6:25" ht="13">
      <c r="F99" s="4" t="s">
        <v>188</v>
      </c>
      <c r="G99" s="13">
        <v>7.546555187578044</v>
      </c>
      <c r="H99" s="13">
        <v>7.176651958960183</v>
      </c>
      <c r="I99" s="13">
        <v>7.273208145993124</v>
      </c>
      <c r="J99" s="13">
        <v>7.110248202760141</v>
      </c>
      <c r="K99" s="13">
        <v>7.295846578769086</v>
      </c>
      <c r="L99" s="13">
        <v>6.916664515962527</v>
      </c>
      <c r="M99" s="13">
        <v>6.503648700550506</v>
      </c>
      <c r="N99" s="13"/>
      <c r="O99" s="13">
        <v>6.181947695125674</v>
      </c>
      <c r="Q99" s="22"/>
      <c r="R99" s="22"/>
      <c r="S99" s="22"/>
      <c r="T99" s="22"/>
      <c r="U99" s="22"/>
      <c r="W99" s="22"/>
      <c r="X99" s="22"/>
      <c r="Y99" s="22"/>
    </row>
    <row r="100" spans="6:25" ht="13">
      <c r="F100" s="4" t="s">
        <v>37</v>
      </c>
      <c r="G100" s="13">
        <v>1.602367719041232</v>
      </c>
      <c r="H100" s="13">
        <v>1.7119343458026826</v>
      </c>
      <c r="I100" s="13">
        <v>1.7290703470330908</v>
      </c>
      <c r="J100" s="13">
        <v>1.7546579540559848</v>
      </c>
      <c r="K100" s="13">
        <v>1.805108355298175</v>
      </c>
      <c r="L100" s="13">
        <v>1.8326694711583247</v>
      </c>
      <c r="M100" s="13">
        <v>1.5571184239105131</v>
      </c>
      <c r="N100" s="13"/>
      <c r="O100" s="13">
        <v>1.631997764256341</v>
      </c>
      <c r="Q100" s="22"/>
      <c r="R100" s="22"/>
      <c r="S100" s="22"/>
      <c r="T100" s="22"/>
      <c r="U100" s="22"/>
      <c r="W100" s="22"/>
      <c r="X100" s="22"/>
      <c r="Y100" s="22"/>
    </row>
    <row r="101" spans="6:25" ht="13">
      <c r="F101" s="4" t="s">
        <v>38</v>
      </c>
      <c r="G101" s="13">
        <v>1.3931977121703285</v>
      </c>
      <c r="H101" s="13">
        <v>1.3507661586962896</v>
      </c>
      <c r="I101" s="13">
        <v>1.3362946950846541</v>
      </c>
      <c r="J101" s="13">
        <v>1.346514020883697</v>
      </c>
      <c r="K101" s="13">
        <v>1.3827564708965165</v>
      </c>
      <c r="L101" s="13">
        <v>1.392627706633242</v>
      </c>
      <c r="M101" s="13">
        <v>1.373078209519855</v>
      </c>
      <c r="N101" s="13"/>
      <c r="O101" s="13">
        <v>1.414779011405191</v>
      </c>
      <c r="Q101" s="22"/>
      <c r="R101" s="22"/>
      <c r="S101" s="22"/>
      <c r="T101" s="22"/>
      <c r="U101" s="22"/>
      <c r="W101" s="22"/>
      <c r="X101" s="22"/>
      <c r="Y101" s="22"/>
    </row>
    <row r="102" spans="6:25" ht="13">
      <c r="F102" s="4"/>
      <c r="G102" s="13"/>
      <c r="H102" s="13"/>
      <c r="I102" s="13"/>
      <c r="J102" s="13"/>
      <c r="K102" s="13"/>
      <c r="L102" s="13"/>
      <c r="M102" s="13"/>
      <c r="N102" s="13"/>
      <c r="O102" s="13"/>
      <c r="Q102" s="22"/>
      <c r="R102" s="22"/>
      <c r="S102" s="22"/>
      <c r="T102" s="22"/>
      <c r="U102" s="22"/>
      <c r="W102" s="22"/>
      <c r="X102" s="22"/>
      <c r="Y102" s="22"/>
    </row>
    <row r="103" spans="6:25" ht="13">
      <c r="F103" s="4" t="s">
        <v>193</v>
      </c>
      <c r="G103" s="16">
        <v>1.695745213438865</v>
      </c>
      <c r="H103" s="16">
        <v>2.6702040611967</v>
      </c>
      <c r="I103" s="16">
        <v>2.519395345117172</v>
      </c>
      <c r="J103" s="16">
        <v>2.379147314503674</v>
      </c>
      <c r="K103" s="16">
        <v>2.2214386857013473</v>
      </c>
      <c r="L103" s="16">
        <v>2.0800641648821183</v>
      </c>
      <c r="M103" s="16">
        <v>4.829989676975188</v>
      </c>
      <c r="N103" s="16"/>
      <c r="O103" s="16">
        <v>5.91042263564805</v>
      </c>
      <c r="Q103" s="22"/>
      <c r="R103" s="22"/>
      <c r="S103" s="22"/>
      <c r="T103" s="22"/>
      <c r="U103" s="22"/>
      <c r="W103" s="22"/>
      <c r="X103" s="22"/>
      <c r="Y103" s="22"/>
    </row>
    <row r="104" spans="6:25" ht="13">
      <c r="F104" s="4" t="s">
        <v>138</v>
      </c>
      <c r="G104" s="16">
        <v>2.045780087611175</v>
      </c>
      <c r="H104" s="16">
        <v>2.6317085393655515</v>
      </c>
      <c r="I104" s="16">
        <v>2.719773622246591</v>
      </c>
      <c r="J104" s="16">
        <v>2.784174440237826</v>
      </c>
      <c r="K104" s="16">
        <v>2.7022837258296537</v>
      </c>
      <c r="L104" s="16">
        <v>2.701980248090914</v>
      </c>
      <c r="M104" s="16">
        <v>2.734908217678973</v>
      </c>
      <c r="N104" s="16"/>
      <c r="O104" s="16">
        <v>3.4298361451711763</v>
      </c>
      <c r="Q104" s="22"/>
      <c r="R104" s="22"/>
      <c r="S104" s="22"/>
      <c r="T104" s="22"/>
      <c r="U104" s="22"/>
      <c r="W104" s="22"/>
      <c r="X104" s="22"/>
      <c r="Y104" s="22"/>
    </row>
    <row r="105" spans="6:25" ht="13">
      <c r="F105" s="4" t="s">
        <v>93</v>
      </c>
      <c r="G105" s="16">
        <v>2.174040556526456</v>
      </c>
      <c r="H105" s="16">
        <v>2.729110061558359</v>
      </c>
      <c r="I105" s="16">
        <v>2.8265284047129513</v>
      </c>
      <c r="J105" s="16">
        <v>2.8485769644486285</v>
      </c>
      <c r="K105" s="16">
        <v>2.878790543111118</v>
      </c>
      <c r="L105" s="16">
        <v>2.8701582419634986</v>
      </c>
      <c r="M105" s="16">
        <v>2.9742617661783988</v>
      </c>
      <c r="N105" s="16"/>
      <c r="O105" s="16">
        <v>3.40956623982542</v>
      </c>
      <c r="Q105" s="22"/>
      <c r="R105" s="22"/>
      <c r="S105" s="22"/>
      <c r="T105" s="22"/>
      <c r="U105" s="22"/>
      <c r="W105" s="22"/>
      <c r="X105" s="22"/>
      <c r="Y105" s="22"/>
    </row>
    <row r="106" spans="6:25" ht="13">
      <c r="F106" s="4" t="s">
        <v>76</v>
      </c>
      <c r="G106" s="13" t="s">
        <v>13</v>
      </c>
      <c r="H106" s="13" t="s">
        <v>13</v>
      </c>
      <c r="I106" s="13">
        <v>2.083912421049926</v>
      </c>
      <c r="J106" s="13">
        <v>2.2575394587368383</v>
      </c>
      <c r="K106" s="13">
        <v>2.5105194300060107</v>
      </c>
      <c r="L106" s="13">
        <v>2.7031242713544406</v>
      </c>
      <c r="M106" s="13">
        <v>2.804721469087652</v>
      </c>
      <c r="N106" s="13"/>
      <c r="O106" s="13">
        <v>3.255715310280516</v>
      </c>
      <c r="Q106" s="22"/>
      <c r="R106" s="22"/>
      <c r="S106" s="22"/>
      <c r="T106" s="22"/>
      <c r="U106" s="22"/>
      <c r="W106" s="22"/>
      <c r="X106" s="22"/>
      <c r="Y106" s="22"/>
    </row>
    <row r="107" spans="6:25" ht="13">
      <c r="F107" s="4" t="s">
        <v>192</v>
      </c>
      <c r="G107" s="16" t="s">
        <v>13</v>
      </c>
      <c r="H107" s="16">
        <v>1.9402151193001786</v>
      </c>
      <c r="I107" s="16">
        <v>2.0905043022557703</v>
      </c>
      <c r="J107" s="16">
        <v>2.239491152603428</v>
      </c>
      <c r="K107" s="16">
        <v>2.3567010873174943</v>
      </c>
      <c r="L107" s="16">
        <v>2.3692034803536615</v>
      </c>
      <c r="M107" s="16">
        <v>2.411659523372312</v>
      </c>
      <c r="N107" s="16"/>
      <c r="O107" s="16">
        <v>2.7322938114456803</v>
      </c>
      <c r="Q107" s="22"/>
      <c r="R107" s="22"/>
      <c r="S107" s="22"/>
      <c r="T107" s="22"/>
      <c r="U107" s="22"/>
      <c r="W107" s="22"/>
      <c r="X107" s="22"/>
      <c r="Y107" s="22"/>
    </row>
    <row r="108" spans="6:21" ht="13">
      <c r="F108" s="4"/>
      <c r="G108" s="16"/>
      <c r="H108" s="16"/>
      <c r="I108" s="16"/>
      <c r="J108" s="16"/>
      <c r="K108" s="16"/>
      <c r="L108" s="16"/>
      <c r="M108" s="16"/>
      <c r="N108" s="16"/>
      <c r="O108" s="16"/>
      <c r="Q108" s="22"/>
      <c r="R108" s="22"/>
      <c r="S108" s="22"/>
      <c r="T108" s="22"/>
      <c r="U108" s="22"/>
    </row>
    <row r="109" spans="6:21" ht="13">
      <c r="F109" s="4" t="s">
        <v>136</v>
      </c>
      <c r="G109" s="19" t="s">
        <v>13</v>
      </c>
      <c r="H109" s="19" t="s">
        <v>13</v>
      </c>
      <c r="I109" s="19" t="s">
        <v>13</v>
      </c>
      <c r="J109" s="19">
        <v>0.5265481460723512</v>
      </c>
      <c r="K109" s="19">
        <v>1.0943015015041775</v>
      </c>
      <c r="L109" s="19">
        <v>1.3164133627740073</v>
      </c>
      <c r="M109" s="19" t="s">
        <v>13</v>
      </c>
      <c r="N109" s="19"/>
      <c r="O109" s="19" t="s">
        <v>13</v>
      </c>
      <c r="Q109" s="22"/>
      <c r="R109" s="22"/>
      <c r="S109" s="22"/>
      <c r="T109" s="22"/>
      <c r="U109" s="22"/>
    </row>
    <row r="110" spans="6:17" ht="13">
      <c r="F110" s="4"/>
      <c r="G110" s="116"/>
      <c r="H110" s="116"/>
      <c r="I110" s="116"/>
      <c r="J110" s="116"/>
      <c r="K110" s="116"/>
      <c r="L110" s="116"/>
      <c r="M110" s="116"/>
      <c r="N110" s="116"/>
      <c r="O110" s="116"/>
      <c r="Q110" s="22"/>
    </row>
    <row r="111" spans="6:15" ht="13">
      <c r="F111" s="4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ht="15">
      <c r="O112" s="3"/>
    </row>
    <row r="113" spans="6:17" ht="15">
      <c r="F113" s="1" t="s">
        <v>102</v>
      </c>
      <c r="P113" s="22"/>
      <c r="Q113" s="22"/>
    </row>
    <row r="114" spans="6:17" ht="14.5">
      <c r="F114" s="1" t="s">
        <v>251</v>
      </c>
      <c r="G114" s="22"/>
      <c r="H114" s="22"/>
      <c r="I114" s="22"/>
      <c r="J114" s="22"/>
      <c r="K114" s="22"/>
      <c r="L114" s="22"/>
      <c r="M114" s="22"/>
      <c r="N114" s="22"/>
      <c r="P114" s="22"/>
      <c r="Q114" s="22"/>
    </row>
    <row r="115" spans="6:17" ht="14.5">
      <c r="F115" s="1" t="s">
        <v>252</v>
      </c>
      <c r="G115" s="22"/>
      <c r="H115" s="22"/>
      <c r="I115" s="22"/>
      <c r="J115" s="22"/>
      <c r="K115" s="22"/>
      <c r="L115" s="22"/>
      <c r="M115" s="22"/>
      <c r="N115" s="22"/>
      <c r="P115" s="22"/>
      <c r="Q115" s="22"/>
    </row>
    <row r="116" spans="6:17" ht="14.5">
      <c r="F116" s="1" t="s">
        <v>253</v>
      </c>
      <c r="G116" s="22"/>
      <c r="H116" s="22"/>
      <c r="I116" s="22"/>
      <c r="J116" s="22"/>
      <c r="K116" s="22"/>
      <c r="L116" s="22"/>
      <c r="M116" s="22"/>
      <c r="N116" s="22"/>
      <c r="P116" s="22"/>
      <c r="Q116" s="22"/>
    </row>
    <row r="117" spans="6:17" ht="14.5">
      <c r="F117" s="1" t="s">
        <v>254</v>
      </c>
      <c r="G117" s="22"/>
      <c r="H117" s="22"/>
      <c r="I117" s="22"/>
      <c r="J117" s="22"/>
      <c r="K117" s="22"/>
      <c r="L117" s="22"/>
      <c r="M117" s="22"/>
      <c r="N117" s="22"/>
      <c r="P117" s="22"/>
      <c r="Q117" s="22"/>
    </row>
    <row r="118" spans="6:17" ht="15">
      <c r="F118" s="1" t="s">
        <v>73</v>
      </c>
      <c r="G118" s="22"/>
      <c r="H118" s="22"/>
      <c r="I118" s="22"/>
      <c r="J118" s="22"/>
      <c r="K118" s="22"/>
      <c r="L118" s="22"/>
      <c r="M118" s="22"/>
      <c r="N118" s="22"/>
      <c r="P118" s="22"/>
      <c r="Q118" s="22"/>
    </row>
    <row r="119" spans="6:17" ht="15">
      <c r="F119" s="1" t="s">
        <v>72</v>
      </c>
      <c r="G119" s="22"/>
      <c r="H119" s="22"/>
      <c r="I119" s="22"/>
      <c r="J119" s="22"/>
      <c r="K119" s="22"/>
      <c r="L119" s="22"/>
      <c r="M119" s="22"/>
      <c r="N119" s="22"/>
      <c r="P119" s="22"/>
      <c r="Q119" s="22"/>
    </row>
    <row r="120" spans="6:17" ht="13">
      <c r="F120" s="32" t="s">
        <v>147</v>
      </c>
      <c r="G120" s="22"/>
      <c r="H120" s="22"/>
      <c r="I120" s="22"/>
      <c r="J120" s="22"/>
      <c r="K120" s="22"/>
      <c r="L120" s="22"/>
      <c r="M120" s="22"/>
      <c r="N120" s="22"/>
      <c r="P120" s="22"/>
      <c r="Q120" s="22"/>
    </row>
    <row r="121" spans="6:17" ht="15">
      <c r="F121" s="22"/>
      <c r="G121" s="22"/>
      <c r="H121" s="22"/>
      <c r="I121" s="22"/>
      <c r="J121" s="22"/>
      <c r="K121" s="22"/>
      <c r="L121" s="22"/>
      <c r="M121" s="22"/>
      <c r="N121" s="22"/>
      <c r="P121" s="22"/>
      <c r="Q121" s="22"/>
    </row>
    <row r="122" spans="6:17" ht="15">
      <c r="F122" s="22"/>
      <c r="G122" s="22"/>
      <c r="H122" s="22"/>
      <c r="I122" s="22"/>
      <c r="J122" s="22"/>
      <c r="K122" s="22"/>
      <c r="L122" s="22"/>
      <c r="M122" s="22"/>
      <c r="N122" s="22"/>
      <c r="P122" s="22"/>
      <c r="Q122" s="22"/>
    </row>
    <row r="123" spans="6:17" ht="15">
      <c r="F123" s="22"/>
      <c r="G123" s="22"/>
      <c r="H123" s="22"/>
      <c r="I123" s="22"/>
      <c r="J123" s="22"/>
      <c r="K123" s="22"/>
      <c r="L123" s="22"/>
      <c r="M123" s="22"/>
      <c r="N123" s="22"/>
      <c r="P123" s="22"/>
      <c r="Q123" s="22"/>
    </row>
    <row r="124" spans="6:17" ht="15">
      <c r="F124" s="22"/>
      <c r="G124" s="22"/>
      <c r="H124" s="22"/>
      <c r="I124" s="22"/>
      <c r="J124" s="22"/>
      <c r="K124" s="22"/>
      <c r="L124" s="22"/>
      <c r="M124" s="22"/>
      <c r="N124" s="22"/>
      <c r="P124" s="22"/>
      <c r="Q124" s="22"/>
    </row>
    <row r="125" spans="6:17" ht="15">
      <c r="F125" s="22"/>
      <c r="G125" s="22"/>
      <c r="H125" s="22"/>
      <c r="I125" s="22"/>
      <c r="J125" s="22"/>
      <c r="K125" s="22"/>
      <c r="L125" s="22"/>
      <c r="M125" s="22"/>
      <c r="N125" s="22"/>
      <c r="P125" s="22"/>
      <c r="Q125" s="22"/>
    </row>
    <row r="126" spans="6:17" ht="15">
      <c r="F126" s="22"/>
      <c r="G126" s="22"/>
      <c r="H126" s="22"/>
      <c r="I126" s="22"/>
      <c r="J126" s="22"/>
      <c r="K126" s="22"/>
      <c r="L126" s="22"/>
      <c r="M126" s="22"/>
      <c r="N126" s="22"/>
      <c r="P126" s="22"/>
      <c r="Q126" s="22"/>
    </row>
    <row r="127" spans="6:17" ht="15">
      <c r="F127" s="22"/>
      <c r="G127" s="22"/>
      <c r="H127" s="22"/>
      <c r="I127" s="22"/>
      <c r="J127" s="22"/>
      <c r="K127" s="22"/>
      <c r="L127" s="22"/>
      <c r="M127" s="22"/>
      <c r="N127" s="22"/>
      <c r="P127" s="22"/>
      <c r="Q127" s="22"/>
    </row>
    <row r="128" spans="6:17" ht="15">
      <c r="F128" s="22"/>
      <c r="G128" s="22"/>
      <c r="H128" s="22"/>
      <c r="I128" s="22"/>
      <c r="J128" s="22"/>
      <c r="K128" s="22"/>
      <c r="L128" s="22"/>
      <c r="M128" s="22"/>
      <c r="N128" s="22"/>
      <c r="P128" s="22"/>
      <c r="Q128" s="22"/>
    </row>
    <row r="129" spans="6:17" ht="15">
      <c r="F129" s="22"/>
      <c r="G129" s="22"/>
      <c r="H129" s="22"/>
      <c r="I129" s="22"/>
      <c r="J129" s="22"/>
      <c r="K129" s="22"/>
      <c r="L129" s="22"/>
      <c r="M129" s="22"/>
      <c r="N129" s="22"/>
      <c r="P129" s="22"/>
      <c r="Q129" s="22"/>
    </row>
    <row r="130" spans="6:17" ht="15">
      <c r="F130" s="22"/>
      <c r="G130" s="22"/>
      <c r="H130" s="22"/>
      <c r="I130" s="22"/>
      <c r="J130" s="22"/>
      <c r="K130" s="22"/>
      <c r="L130" s="22"/>
      <c r="M130" s="22"/>
      <c r="N130" s="22"/>
      <c r="P130" s="22"/>
      <c r="Q130" s="22"/>
    </row>
    <row r="131" spans="6:17" ht="15">
      <c r="F131" s="22"/>
      <c r="G131" s="22"/>
      <c r="H131" s="22"/>
      <c r="I131" s="22"/>
      <c r="J131" s="22"/>
      <c r="K131" s="22"/>
      <c r="L131" s="22"/>
      <c r="M131" s="22"/>
      <c r="N131" s="22"/>
      <c r="P131" s="22"/>
      <c r="Q131" s="22"/>
    </row>
    <row r="132" spans="6:17" ht="15">
      <c r="F132" s="22"/>
      <c r="G132" s="22"/>
      <c r="H132" s="22"/>
      <c r="I132" s="22"/>
      <c r="J132" s="22"/>
      <c r="K132" s="22"/>
      <c r="L132" s="22"/>
      <c r="M132" s="22"/>
      <c r="N132" s="22"/>
      <c r="P132" s="22"/>
      <c r="Q132" s="22"/>
    </row>
    <row r="133" spans="6:17" ht="15">
      <c r="F133" s="22"/>
      <c r="G133" s="22"/>
      <c r="H133" s="22"/>
      <c r="I133" s="22"/>
      <c r="J133" s="22"/>
      <c r="K133" s="22"/>
      <c r="L133" s="22"/>
      <c r="M133" s="22"/>
      <c r="N133" s="22"/>
      <c r="P133" s="22"/>
      <c r="Q133" s="22"/>
    </row>
    <row r="134" spans="6:17" ht="15">
      <c r="F134" s="22"/>
      <c r="G134" s="22"/>
      <c r="H134" s="22"/>
      <c r="I134" s="22"/>
      <c r="J134" s="22"/>
      <c r="K134" s="22"/>
      <c r="L134" s="22"/>
      <c r="M134" s="22"/>
      <c r="N134" s="22"/>
      <c r="P134" s="22"/>
      <c r="Q134" s="22"/>
    </row>
    <row r="135" spans="6:17" ht="15">
      <c r="F135" s="22"/>
      <c r="G135" s="22"/>
      <c r="H135" s="22"/>
      <c r="I135" s="22"/>
      <c r="J135" s="22"/>
      <c r="K135" s="22"/>
      <c r="L135" s="22"/>
      <c r="M135" s="22"/>
      <c r="N135" s="22"/>
      <c r="P135" s="22"/>
      <c r="Q135" s="22"/>
    </row>
    <row r="136" spans="6:17" ht="15">
      <c r="F136" s="22"/>
      <c r="G136" s="22"/>
      <c r="H136" s="22"/>
      <c r="I136" s="22"/>
      <c r="J136" s="22"/>
      <c r="K136" s="22"/>
      <c r="L136" s="22"/>
      <c r="M136" s="22"/>
      <c r="N136" s="22"/>
      <c r="P136" s="22"/>
      <c r="Q136" s="22"/>
    </row>
    <row r="137" spans="6:17" ht="15">
      <c r="F137" s="22"/>
      <c r="G137" s="22"/>
      <c r="H137" s="22"/>
      <c r="I137" s="22"/>
      <c r="J137" s="22"/>
      <c r="K137" s="22"/>
      <c r="L137" s="22"/>
      <c r="M137" s="22"/>
      <c r="N137" s="22"/>
      <c r="P137" s="22"/>
      <c r="Q137" s="22"/>
    </row>
    <row r="138" spans="6:17" ht="15">
      <c r="F138" s="22"/>
      <c r="G138" s="22"/>
      <c r="H138" s="22"/>
      <c r="I138" s="22"/>
      <c r="J138" s="22"/>
      <c r="K138" s="22"/>
      <c r="L138" s="22"/>
      <c r="M138" s="22"/>
      <c r="N138" s="22"/>
      <c r="P138" s="22"/>
      <c r="Q138" s="22"/>
    </row>
    <row r="139" spans="6:17" ht="15">
      <c r="F139" s="22"/>
      <c r="G139" s="22"/>
      <c r="H139" s="22"/>
      <c r="I139" s="22"/>
      <c r="J139" s="22"/>
      <c r="K139" s="22"/>
      <c r="L139" s="22"/>
      <c r="M139" s="22"/>
      <c r="N139" s="22"/>
      <c r="P139" s="22"/>
      <c r="Q139" s="22"/>
    </row>
    <row r="140" spans="6:17" ht="15">
      <c r="F140" s="22"/>
      <c r="G140" s="22"/>
      <c r="H140" s="22"/>
      <c r="I140" s="22"/>
      <c r="J140" s="22"/>
      <c r="K140" s="22"/>
      <c r="L140" s="22"/>
      <c r="M140" s="22"/>
      <c r="N140" s="22"/>
      <c r="P140" s="22"/>
      <c r="Q140" s="22"/>
    </row>
    <row r="141" spans="6:17" ht="15">
      <c r="F141" s="22"/>
      <c r="G141" s="22"/>
      <c r="H141" s="22"/>
      <c r="I141" s="22"/>
      <c r="J141" s="22"/>
      <c r="K141" s="22"/>
      <c r="L141" s="22"/>
      <c r="M141" s="22"/>
      <c r="N141" s="22"/>
      <c r="P141" s="22"/>
      <c r="Q141" s="22"/>
    </row>
    <row r="142" spans="6:17" ht="15">
      <c r="F142" s="22"/>
      <c r="G142" s="22"/>
      <c r="H142" s="22"/>
      <c r="I142" s="22"/>
      <c r="J142" s="22"/>
      <c r="K142" s="22"/>
      <c r="L142" s="22"/>
      <c r="M142" s="22"/>
      <c r="N142" s="22"/>
      <c r="P142" s="22"/>
      <c r="Q142" s="22"/>
    </row>
    <row r="143" spans="6:14" ht="15">
      <c r="F143" s="22"/>
      <c r="G143" s="22"/>
      <c r="H143" s="22"/>
      <c r="I143" s="22"/>
      <c r="J143" s="22"/>
      <c r="K143" s="22"/>
      <c r="L143" s="22"/>
      <c r="M143" s="22"/>
      <c r="N143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B2:N31"/>
  <sheetViews>
    <sheetView showGridLines="0" workbookViewId="0" topLeftCell="A1">
      <selection activeCell="K19" sqref="K19"/>
    </sheetView>
  </sheetViews>
  <sheetFormatPr defaultColWidth="9.28125" defaultRowHeight="15"/>
  <cols>
    <col min="1" max="1" width="9.28125" style="3" customWidth="1"/>
    <col min="2" max="2" width="16.7109375" style="3" customWidth="1"/>
    <col min="3" max="8" width="12.7109375" style="3" customWidth="1"/>
    <col min="9" max="11" width="9.28125" style="3" customWidth="1"/>
    <col min="12" max="12" width="9.421875" style="3" bestFit="1" customWidth="1"/>
    <col min="13" max="13" width="9.28125" style="3" customWidth="1"/>
    <col min="14" max="14" width="12.57421875" style="3" bestFit="1" customWidth="1"/>
    <col min="15" max="16" width="9.28125" style="3" customWidth="1"/>
    <col min="17" max="17" width="9.28125" style="22" customWidth="1"/>
    <col min="18" max="16384" width="9.28125" style="3" customWidth="1"/>
  </cols>
  <sheetData>
    <row r="2" ht="13">
      <c r="B2" s="4" t="s">
        <v>203</v>
      </c>
    </row>
    <row r="4" spans="2:8" ht="15" customHeight="1">
      <c r="B4" s="221"/>
      <c r="C4" s="243" t="s">
        <v>242</v>
      </c>
      <c r="D4" s="245"/>
      <c r="E4" s="246" t="s">
        <v>16</v>
      </c>
      <c r="F4" s="244"/>
      <c r="G4" s="243" t="s">
        <v>17</v>
      </c>
      <c r="H4" s="244"/>
    </row>
    <row r="5" spans="2:8" ht="26">
      <c r="B5" s="117"/>
      <c r="C5" s="118" t="s">
        <v>18</v>
      </c>
      <c r="D5" s="119" t="s">
        <v>70</v>
      </c>
      <c r="E5" s="120" t="s">
        <v>18</v>
      </c>
      <c r="F5" s="119" t="s">
        <v>70</v>
      </c>
      <c r="G5" s="120" t="s">
        <v>18</v>
      </c>
      <c r="H5" s="121" t="s">
        <v>70</v>
      </c>
    </row>
    <row r="6" spans="2:8" ht="13">
      <c r="B6" s="28" t="s">
        <v>23</v>
      </c>
      <c r="C6" s="122">
        <v>799</v>
      </c>
      <c r="D6" s="123">
        <v>-35.668276972624795</v>
      </c>
      <c r="E6" s="36">
        <v>153</v>
      </c>
      <c r="F6" s="123" t="s">
        <v>13</v>
      </c>
      <c r="G6" s="36">
        <v>315</v>
      </c>
      <c r="H6" s="29">
        <v>30.16528925619835</v>
      </c>
    </row>
    <row r="7" spans="2:8" ht="13">
      <c r="B7" s="28" t="s">
        <v>52</v>
      </c>
      <c r="C7" s="122">
        <v>30</v>
      </c>
      <c r="D7" s="123">
        <v>172.7272727272727</v>
      </c>
      <c r="E7" s="36">
        <v>26</v>
      </c>
      <c r="F7" s="123">
        <v>-23.529411764705884</v>
      </c>
      <c r="G7" s="36">
        <v>107</v>
      </c>
      <c r="H7" s="29">
        <v>-29.60526315789474</v>
      </c>
    </row>
    <row r="8" spans="2:8" ht="13">
      <c r="B8" s="11" t="s">
        <v>56</v>
      </c>
      <c r="C8" s="124">
        <v>26</v>
      </c>
      <c r="D8" s="125">
        <v>-60.60606060606061</v>
      </c>
      <c r="E8" s="38">
        <v>63</v>
      </c>
      <c r="F8" s="125">
        <v>-43.24324324324324</v>
      </c>
      <c r="G8" s="38">
        <v>84</v>
      </c>
      <c r="H8" s="12">
        <v>-52.54237288135593</v>
      </c>
    </row>
    <row r="9" spans="2:8" ht="13">
      <c r="B9" s="11" t="s">
        <v>2</v>
      </c>
      <c r="C9" s="124">
        <v>1119</v>
      </c>
      <c r="D9" s="125">
        <v>-14.318529862174572</v>
      </c>
      <c r="E9" s="38">
        <v>380</v>
      </c>
      <c r="F9" s="125" t="s">
        <v>13</v>
      </c>
      <c r="G9" s="38">
        <v>748</v>
      </c>
      <c r="H9" s="12">
        <v>-34.95652173913044</v>
      </c>
    </row>
    <row r="10" spans="2:8" ht="13">
      <c r="B10" s="11" t="s">
        <v>4</v>
      </c>
      <c r="C10" s="124">
        <v>651</v>
      </c>
      <c r="D10" s="125">
        <v>-31.18393234672304</v>
      </c>
      <c r="E10" s="38" t="s">
        <v>13</v>
      </c>
      <c r="F10" s="125" t="s">
        <v>13</v>
      </c>
      <c r="G10" s="38">
        <v>326</v>
      </c>
      <c r="H10" s="12">
        <v>-35.952848722986246</v>
      </c>
    </row>
    <row r="11" spans="2:8" ht="13">
      <c r="B11" s="11" t="s">
        <v>5</v>
      </c>
      <c r="C11" s="124">
        <v>14</v>
      </c>
      <c r="D11" s="125">
        <v>133.33333333333334</v>
      </c>
      <c r="E11" s="38">
        <v>21</v>
      </c>
      <c r="F11" s="125">
        <v>-62.5</v>
      </c>
      <c r="G11" s="38">
        <v>81</v>
      </c>
      <c r="H11" s="12">
        <v>-35.71428571428571</v>
      </c>
    </row>
    <row r="12" spans="2:8" ht="13">
      <c r="B12" s="11" t="s">
        <v>30</v>
      </c>
      <c r="C12" s="124">
        <v>30</v>
      </c>
      <c r="D12" s="125">
        <v>0</v>
      </c>
      <c r="E12" s="38">
        <v>22</v>
      </c>
      <c r="F12" s="125">
        <v>4.761904761904773</v>
      </c>
      <c r="G12" s="38">
        <v>19</v>
      </c>
      <c r="H12" s="12">
        <v>-34.48275862068965</v>
      </c>
    </row>
    <row r="13" spans="2:8" ht="13">
      <c r="B13" s="11" t="s">
        <v>6</v>
      </c>
      <c r="C13" s="124">
        <v>69</v>
      </c>
      <c r="D13" s="125">
        <v>-48.88888888888889</v>
      </c>
      <c r="E13" s="38">
        <v>53</v>
      </c>
      <c r="F13" s="125">
        <v>341.6666666666667</v>
      </c>
      <c r="G13" s="38">
        <v>245</v>
      </c>
      <c r="H13" s="12">
        <v>544.7368421052632</v>
      </c>
    </row>
    <row r="14" spans="2:14" ht="13.15" customHeight="1">
      <c r="B14" s="11" t="s">
        <v>228</v>
      </c>
      <c r="C14" s="124">
        <v>4538</v>
      </c>
      <c r="D14" s="125">
        <v>-19.8</v>
      </c>
      <c r="E14" s="38">
        <v>791</v>
      </c>
      <c r="F14" s="125">
        <v>-7.1</v>
      </c>
      <c r="G14" s="38">
        <v>1683</v>
      </c>
      <c r="H14" s="12">
        <v>21.3</v>
      </c>
      <c r="N14" s="205"/>
    </row>
    <row r="15" spans="2:14" ht="13">
      <c r="B15" s="11" t="s">
        <v>7</v>
      </c>
      <c r="C15" s="124">
        <v>62</v>
      </c>
      <c r="D15" s="125">
        <v>-34.73684210526315</v>
      </c>
      <c r="E15" s="38">
        <v>124</v>
      </c>
      <c r="F15" s="125">
        <v>-50.98814229249012</v>
      </c>
      <c r="G15" s="38">
        <v>177</v>
      </c>
      <c r="H15" s="12">
        <v>-63.04801670146138</v>
      </c>
      <c r="N15" s="205"/>
    </row>
    <row r="16" spans="2:14" ht="13">
      <c r="B16" s="11" t="s">
        <v>8</v>
      </c>
      <c r="C16" s="124">
        <v>148</v>
      </c>
      <c r="D16" s="125" t="s">
        <v>13</v>
      </c>
      <c r="E16" s="38">
        <v>293</v>
      </c>
      <c r="F16" s="125">
        <v>21.576763485477173</v>
      </c>
      <c r="G16" s="38">
        <v>1000</v>
      </c>
      <c r="H16" s="12">
        <v>-15.540540540540533</v>
      </c>
      <c r="N16" s="205"/>
    </row>
    <row r="17" spans="2:14" ht="13">
      <c r="B17" s="14" t="s">
        <v>9</v>
      </c>
      <c r="C17" s="37">
        <v>8</v>
      </c>
      <c r="D17" s="126">
        <v>-71.42857142857143</v>
      </c>
      <c r="E17" s="40">
        <v>33</v>
      </c>
      <c r="F17" s="126">
        <v>-29.787234042553195</v>
      </c>
      <c r="G17" s="40">
        <v>99</v>
      </c>
      <c r="H17" s="15">
        <v>-48.4375</v>
      </c>
      <c r="N17" s="205"/>
    </row>
    <row r="18" spans="2:8" ht="13">
      <c r="B18" s="17" t="s">
        <v>10</v>
      </c>
      <c r="C18" s="41">
        <v>183</v>
      </c>
      <c r="D18" s="127">
        <v>35.55555555555557</v>
      </c>
      <c r="E18" s="42">
        <v>31</v>
      </c>
      <c r="F18" s="127">
        <v>-3.125</v>
      </c>
      <c r="G18" s="42">
        <v>59</v>
      </c>
      <c r="H18" s="18">
        <v>84.375</v>
      </c>
    </row>
    <row r="19" spans="2:8" ht="13">
      <c r="B19" s="128" t="s">
        <v>53</v>
      </c>
      <c r="C19" s="129">
        <v>8</v>
      </c>
      <c r="D19" s="130">
        <v>-42.85714285714286</v>
      </c>
      <c r="E19" s="131">
        <v>8</v>
      </c>
      <c r="F19" s="130" t="s">
        <v>13</v>
      </c>
      <c r="G19" s="131">
        <v>1</v>
      </c>
      <c r="H19" s="132" t="s">
        <v>13</v>
      </c>
    </row>
    <row r="20" spans="2:9" ht="13">
      <c r="B20" s="28" t="s">
        <v>153</v>
      </c>
      <c r="C20" s="122">
        <v>2</v>
      </c>
      <c r="D20" s="123" t="s">
        <v>13</v>
      </c>
      <c r="E20" s="36">
        <v>7</v>
      </c>
      <c r="F20" s="123" t="s">
        <v>13</v>
      </c>
      <c r="G20" s="36">
        <v>7</v>
      </c>
      <c r="H20" s="29" t="s">
        <v>13</v>
      </c>
      <c r="I20" s="69"/>
    </row>
    <row r="21" spans="2:9" ht="13">
      <c r="B21" s="128" t="s">
        <v>64</v>
      </c>
      <c r="C21" s="129">
        <v>79</v>
      </c>
      <c r="D21" s="130" t="s">
        <v>13</v>
      </c>
      <c r="E21" s="131">
        <v>66</v>
      </c>
      <c r="F21" s="130" t="s">
        <v>13</v>
      </c>
      <c r="G21" s="131">
        <v>216</v>
      </c>
      <c r="H21" s="132" t="s">
        <v>13</v>
      </c>
      <c r="I21" s="69"/>
    </row>
    <row r="22" spans="2:9" ht="15">
      <c r="B22" s="1" t="s">
        <v>50</v>
      </c>
      <c r="C22" s="44"/>
      <c r="D22" s="21"/>
      <c r="E22" s="44"/>
      <c r="F22" s="21"/>
      <c r="G22" s="44"/>
      <c r="H22" s="21"/>
      <c r="I22" s="69"/>
    </row>
    <row r="23" ht="13.15" customHeight="1">
      <c r="B23" s="208" t="s">
        <v>229</v>
      </c>
    </row>
    <row r="24" spans="2:12" ht="13">
      <c r="B24" s="32" t="s">
        <v>149</v>
      </c>
      <c r="J24" s="133"/>
      <c r="K24" s="133"/>
      <c r="L24" s="133"/>
    </row>
    <row r="25" spans="10:12" ht="15">
      <c r="J25" s="133"/>
      <c r="K25" s="133"/>
      <c r="L25" s="133"/>
    </row>
    <row r="26" spans="10:12" ht="15">
      <c r="J26" s="133"/>
      <c r="K26" s="133"/>
      <c r="L26" s="133"/>
    </row>
    <row r="27" spans="10:12" ht="15">
      <c r="J27" s="133"/>
      <c r="K27" s="133"/>
      <c r="L27" s="133"/>
    </row>
    <row r="28" spans="10:12" ht="15">
      <c r="J28" s="133"/>
      <c r="K28" s="133"/>
      <c r="L28" s="133"/>
    </row>
    <row r="29" ht="15">
      <c r="J29" s="133"/>
    </row>
    <row r="30" ht="15">
      <c r="J30" s="133"/>
    </row>
    <row r="31" ht="15">
      <c r="J31" s="133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2:I59"/>
  <sheetViews>
    <sheetView showGridLines="0" workbookViewId="0" topLeftCell="A3">
      <selection activeCell="L36" sqref="L36"/>
    </sheetView>
  </sheetViews>
  <sheetFormatPr defaultColWidth="9.28125" defaultRowHeight="15"/>
  <cols>
    <col min="1" max="2" width="9.28125" style="3" customWidth="1"/>
    <col min="3" max="3" width="21.28125" style="3" customWidth="1"/>
    <col min="4" max="4" width="27.00390625" style="3" customWidth="1"/>
    <col min="5" max="10" width="9.28125" style="3" customWidth="1"/>
    <col min="11" max="11" width="7.7109375" style="3" customWidth="1"/>
    <col min="12" max="16384" width="9.28125" style="3" customWidth="1"/>
  </cols>
  <sheetData>
    <row r="1" ht="12.75"/>
    <row r="2" ht="12.75">
      <c r="B2" s="4" t="s">
        <v>243</v>
      </c>
    </row>
    <row r="3" ht="12.75">
      <c r="B3" s="1" t="s">
        <v>69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>
      <c r="B16" s="4"/>
    </row>
    <row r="17" ht="12.75">
      <c r="B17" s="1"/>
    </row>
    <row r="18" ht="12.75"/>
    <row r="19" ht="12.75"/>
    <row r="20" ht="12.75"/>
    <row r="21" ht="12.75"/>
    <row r="22" ht="12.75"/>
    <row r="23" ht="12.75"/>
    <row r="24" ht="12.75"/>
    <row r="29" ht="15" customHeight="1">
      <c r="B29" s="1"/>
    </row>
    <row r="30" ht="15">
      <c r="B30" s="1"/>
    </row>
    <row r="31" ht="15">
      <c r="B31" s="1"/>
    </row>
    <row r="32" ht="13">
      <c r="B32" s="32" t="s">
        <v>150</v>
      </c>
    </row>
    <row r="45" spans="2:5" ht="13">
      <c r="B45" s="221"/>
      <c r="C45" s="221" t="s">
        <v>242</v>
      </c>
      <c r="D45" s="221" t="s">
        <v>17</v>
      </c>
      <c r="E45" s="221" t="s">
        <v>54</v>
      </c>
    </row>
    <row r="46" spans="2:9" ht="15">
      <c r="B46" s="2" t="s">
        <v>32</v>
      </c>
      <c r="C46" s="200">
        <v>8766</v>
      </c>
      <c r="D46" s="201">
        <v>3463</v>
      </c>
      <c r="E46" s="134">
        <f aca="true" t="shared" si="0" ref="E46:E57">C46+D46</f>
        <v>12229</v>
      </c>
      <c r="G46" s="22">
        <f>C46/E46*100</f>
        <v>71.68206721727041</v>
      </c>
      <c r="H46" s="22">
        <f aca="true" t="shared" si="1" ref="H46:H57">D46/E46*100</f>
        <v>28.317932782729578</v>
      </c>
      <c r="I46" s="3">
        <f>G46+H46</f>
        <v>100</v>
      </c>
    </row>
    <row r="47" spans="2:9" ht="15">
      <c r="B47" s="2" t="s">
        <v>57</v>
      </c>
      <c r="C47" s="200">
        <v>1798</v>
      </c>
      <c r="D47" s="201">
        <v>676</v>
      </c>
      <c r="E47" s="134">
        <f t="shared" si="0"/>
        <v>2474</v>
      </c>
      <c r="G47" s="22">
        <f>C47/E47*100</f>
        <v>72.67582861762328</v>
      </c>
      <c r="H47" s="22">
        <f t="shared" si="1"/>
        <v>27.324171382376715</v>
      </c>
      <c r="I47" s="3">
        <f>G47+H47</f>
        <v>100</v>
      </c>
    </row>
    <row r="48" spans="2:9" ht="15">
      <c r="B48" s="2" t="s">
        <v>8</v>
      </c>
      <c r="C48" s="200">
        <v>215</v>
      </c>
      <c r="D48" s="201">
        <v>1439</v>
      </c>
      <c r="E48" s="134">
        <f t="shared" si="0"/>
        <v>1654</v>
      </c>
      <c r="G48" s="22">
        <f>C48/E48*100</f>
        <v>12.998790810157196</v>
      </c>
      <c r="H48" s="22">
        <f t="shared" si="1"/>
        <v>87.00120918984281</v>
      </c>
      <c r="I48" s="3">
        <f>G48+H48</f>
        <v>100</v>
      </c>
    </row>
    <row r="49" spans="2:9" ht="15">
      <c r="B49" s="2" t="s">
        <v>23</v>
      </c>
      <c r="C49" s="200">
        <v>653</v>
      </c>
      <c r="D49" s="201">
        <v>665</v>
      </c>
      <c r="E49" s="134">
        <f t="shared" si="0"/>
        <v>1318</v>
      </c>
      <c r="G49" s="22">
        <f>C49/E49*100</f>
        <v>49.54476479514416</v>
      </c>
      <c r="H49" s="22">
        <f aca="true" t="shared" si="2" ref="H49">D49/E49*100</f>
        <v>50.45523520485584</v>
      </c>
      <c r="I49" s="3">
        <f>G49+H49</f>
        <v>100</v>
      </c>
    </row>
    <row r="50" spans="2:9" ht="15">
      <c r="B50" s="2" t="s">
        <v>4</v>
      </c>
      <c r="C50" s="200">
        <v>651.294</v>
      </c>
      <c r="D50" s="201">
        <v>441.087</v>
      </c>
      <c r="E50" s="134">
        <f t="shared" si="0"/>
        <v>1092.3809999999999</v>
      </c>
      <c r="G50" s="22">
        <f>C50/E50*100</f>
        <v>59.6215056834566</v>
      </c>
      <c r="H50" s="22">
        <f t="shared" si="1"/>
        <v>40.3784943165434</v>
      </c>
      <c r="I50" s="3">
        <f>G50+H50</f>
        <v>100</v>
      </c>
    </row>
    <row r="51" spans="2:8" ht="15">
      <c r="B51" s="2" t="s">
        <v>1</v>
      </c>
      <c r="C51" s="200">
        <v>45.2</v>
      </c>
      <c r="D51" s="201">
        <v>180.7</v>
      </c>
      <c r="E51" s="134">
        <f>C51+D51</f>
        <v>225.89999999999998</v>
      </c>
      <c r="H51" s="22">
        <f>D51/E51*100</f>
        <v>79.99114652501108</v>
      </c>
    </row>
    <row r="52" spans="2:8" ht="15">
      <c r="B52" s="2" t="s">
        <v>9</v>
      </c>
      <c r="C52" s="200">
        <v>8.9</v>
      </c>
      <c r="D52" s="201">
        <v>159.6</v>
      </c>
      <c r="E52" s="134">
        <f>C52+D52</f>
        <v>168.5</v>
      </c>
      <c r="H52" s="22">
        <f>D52/E52*100</f>
        <v>94.71810089020771</v>
      </c>
    </row>
    <row r="53" spans="2:8" ht="15">
      <c r="B53" s="2" t="s">
        <v>7</v>
      </c>
      <c r="C53" s="200">
        <v>49.134</v>
      </c>
      <c r="D53" s="201">
        <v>78.406</v>
      </c>
      <c r="E53" s="134">
        <f t="shared" si="0"/>
        <v>127.54</v>
      </c>
      <c r="H53" s="22">
        <f t="shared" si="1"/>
        <v>61.475615493178616</v>
      </c>
    </row>
    <row r="54" spans="2:8" ht="15">
      <c r="B54" s="2" t="s">
        <v>5</v>
      </c>
      <c r="C54" s="200">
        <v>15</v>
      </c>
      <c r="D54" s="201">
        <v>62</v>
      </c>
      <c r="E54" s="134">
        <f>C54+D54</f>
        <v>77</v>
      </c>
      <c r="H54" s="22">
        <f>D54/E54*100</f>
        <v>80.51948051948052</v>
      </c>
    </row>
    <row r="55" spans="2:8" ht="15">
      <c r="B55" s="2" t="s">
        <v>56</v>
      </c>
      <c r="C55" s="200">
        <v>29</v>
      </c>
      <c r="D55" s="201">
        <v>46</v>
      </c>
      <c r="E55" s="134">
        <f t="shared" si="0"/>
        <v>75</v>
      </c>
      <c r="H55" s="22">
        <f t="shared" si="1"/>
        <v>61.33333333333333</v>
      </c>
    </row>
    <row r="56" spans="2:8" ht="15">
      <c r="B56" s="2" t="s">
        <v>10</v>
      </c>
      <c r="C56" s="200">
        <v>16</v>
      </c>
      <c r="D56" s="201">
        <v>9</v>
      </c>
      <c r="E56" s="134">
        <f>C56+D56</f>
        <v>25</v>
      </c>
      <c r="H56" s="22">
        <f>D56/E56*100</f>
        <v>36</v>
      </c>
    </row>
    <row r="57" spans="2:8" ht="15">
      <c r="B57" s="2" t="s">
        <v>30</v>
      </c>
      <c r="C57" s="200">
        <v>6.5</v>
      </c>
      <c r="D57" s="201">
        <v>3.1</v>
      </c>
      <c r="E57" s="134">
        <f t="shared" si="0"/>
        <v>9.6</v>
      </c>
      <c r="H57" s="22">
        <f t="shared" si="1"/>
        <v>32.29166666666667</v>
      </c>
    </row>
    <row r="58" spans="2:8" ht="15">
      <c r="B58" s="2"/>
      <c r="C58" s="200"/>
      <c r="D58" s="201"/>
      <c r="E58" s="134"/>
      <c r="H58" s="22"/>
    </row>
    <row r="59" spans="2:8" ht="15">
      <c r="B59" s="2" t="s">
        <v>64</v>
      </c>
      <c r="C59" s="202">
        <v>98</v>
      </c>
      <c r="D59" s="201">
        <v>281</v>
      </c>
      <c r="E59" s="135">
        <f aca="true" t="shared" si="3" ref="E59">C59+D59</f>
        <v>379</v>
      </c>
      <c r="H59" s="22">
        <f aca="true" t="shared" si="4" ref="H59">D59/E59*100</f>
        <v>74.14248021108179</v>
      </c>
    </row>
  </sheetData>
  <autoFilter ref="B45:E45">
    <sortState ref="B46:E59">
      <sortCondition descending="1" sortBy="value" ref="E46:E5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2:Q75"/>
  <sheetViews>
    <sheetView showGridLines="0" workbookViewId="0" topLeftCell="A1">
      <selection activeCell="S24" sqref="S24"/>
    </sheetView>
  </sheetViews>
  <sheetFormatPr defaultColWidth="9.28125" defaultRowHeight="15"/>
  <cols>
    <col min="1" max="16384" width="9.28125" style="3" customWidth="1"/>
  </cols>
  <sheetData>
    <row r="2" ht="12.75">
      <c r="B2" s="4" t="s">
        <v>244</v>
      </c>
    </row>
    <row r="3" ht="12.75">
      <c r="B3" s="1" t="s">
        <v>11</v>
      </c>
    </row>
    <row r="5" spans="2:9" ht="12.75">
      <c r="B5" s="136"/>
      <c r="C5" s="136"/>
      <c r="D5" s="136"/>
      <c r="E5" s="136"/>
      <c r="F5" s="136"/>
      <c r="G5" s="136"/>
      <c r="H5" s="136"/>
      <c r="I5" s="136"/>
    </row>
    <row r="6" spans="2:9" ht="12.75">
      <c r="B6" s="4"/>
      <c r="C6" s="77"/>
      <c r="D6" s="77"/>
      <c r="E6" s="77"/>
      <c r="F6" s="77"/>
      <c r="G6" s="77"/>
      <c r="H6" s="77"/>
      <c r="I6" s="77"/>
    </row>
    <row r="7" spans="2:9" ht="12.75">
      <c r="B7" s="4"/>
      <c r="C7" s="77"/>
      <c r="D7" s="77"/>
      <c r="E7" s="77"/>
      <c r="F7" s="77"/>
      <c r="G7" s="77"/>
      <c r="H7" s="77"/>
      <c r="I7" s="77"/>
    </row>
    <row r="8" spans="2:9" ht="12.75">
      <c r="B8" s="4"/>
      <c r="C8" s="77"/>
      <c r="D8" s="77"/>
      <c r="E8" s="77"/>
      <c r="F8" s="77"/>
      <c r="G8" s="77"/>
      <c r="H8" s="77"/>
      <c r="I8" s="77"/>
    </row>
    <row r="9" spans="2:9" ht="12.75">
      <c r="B9" s="4"/>
      <c r="C9" s="77"/>
      <c r="D9" s="77"/>
      <c r="E9" s="77"/>
      <c r="F9" s="77"/>
      <c r="G9" s="77"/>
      <c r="H9" s="77"/>
      <c r="I9" s="77"/>
    </row>
    <row r="10" spans="2:9" ht="12.75">
      <c r="B10" s="4"/>
      <c r="C10" s="77"/>
      <c r="D10" s="77"/>
      <c r="E10" s="77"/>
      <c r="F10" s="77"/>
      <c r="G10" s="77"/>
      <c r="H10" s="77"/>
      <c r="I10" s="77"/>
    </row>
    <row r="11" spans="2:9" ht="12.75">
      <c r="B11" s="4"/>
      <c r="C11" s="77"/>
      <c r="D11" s="77"/>
      <c r="E11" s="77"/>
      <c r="F11" s="77"/>
      <c r="G11" s="77"/>
      <c r="H11" s="77"/>
      <c r="I11" s="77"/>
    </row>
    <row r="12" spans="2:9" ht="12.75">
      <c r="B12" s="4"/>
      <c r="C12" s="77"/>
      <c r="D12" s="77"/>
      <c r="E12" s="77"/>
      <c r="F12" s="77"/>
      <c r="G12" s="77"/>
      <c r="H12" s="77"/>
      <c r="I12" s="77"/>
    </row>
    <row r="13" spans="2:9" ht="12.75">
      <c r="B13" s="4"/>
      <c r="C13" s="77"/>
      <c r="D13" s="77"/>
      <c r="E13" s="77"/>
      <c r="F13" s="77"/>
      <c r="G13" s="77"/>
      <c r="H13" s="77"/>
      <c r="I13" s="77"/>
    </row>
    <row r="14" spans="2:9" ht="12.75">
      <c r="B14" s="4"/>
      <c r="C14" s="77"/>
      <c r="D14" s="77"/>
      <c r="E14" s="77"/>
      <c r="F14" s="77"/>
      <c r="G14" s="77"/>
      <c r="H14" s="77"/>
      <c r="I14" s="77"/>
    </row>
    <row r="15" spans="2:9" ht="12.75">
      <c r="B15" s="4"/>
      <c r="C15" s="77"/>
      <c r="D15" s="77"/>
      <c r="E15" s="77"/>
      <c r="F15" s="77"/>
      <c r="G15" s="77"/>
      <c r="H15" s="77"/>
      <c r="I15" s="77"/>
    </row>
    <row r="16" spans="2:9" ht="12.75">
      <c r="B16" s="4"/>
      <c r="C16" s="77"/>
      <c r="D16" s="77"/>
      <c r="E16" s="77"/>
      <c r="F16" s="77"/>
      <c r="G16" s="77"/>
      <c r="H16" s="77"/>
      <c r="I16" s="77"/>
    </row>
    <row r="17" spans="2:9" ht="12.75">
      <c r="B17" s="4"/>
      <c r="C17" s="77"/>
      <c r="D17" s="77"/>
      <c r="E17" s="77"/>
      <c r="F17" s="77"/>
      <c r="G17" s="77"/>
      <c r="H17" s="77"/>
      <c r="I17" s="77"/>
    </row>
    <row r="20" ht="12.75">
      <c r="B20" s="32"/>
    </row>
    <row r="23" ht="12.75">
      <c r="B23" s="4"/>
    </row>
    <row r="24" ht="12.75">
      <c r="B24" s="1"/>
    </row>
    <row r="46" ht="13">
      <c r="B46" s="32" t="s">
        <v>150</v>
      </c>
    </row>
    <row r="48" spans="2:15" ht="15">
      <c r="B48" s="3" t="s">
        <v>51</v>
      </c>
      <c r="C48" s="3" t="s">
        <v>19</v>
      </c>
      <c r="D48" s="3" t="s">
        <v>48</v>
      </c>
      <c r="E48" s="3" t="s">
        <v>49</v>
      </c>
      <c r="F48" s="3" t="s">
        <v>20</v>
      </c>
      <c r="G48" s="137"/>
      <c r="M48" s="3" t="s">
        <v>48</v>
      </c>
      <c r="N48" s="3" t="s">
        <v>49</v>
      </c>
      <c r="O48" s="3" t="s">
        <v>20</v>
      </c>
    </row>
    <row r="49" spans="2:17" ht="15">
      <c r="B49" s="3" t="s">
        <v>23</v>
      </c>
      <c r="C49" s="200">
        <v>653</v>
      </c>
      <c r="D49" s="200">
        <v>203</v>
      </c>
      <c r="E49" s="200">
        <v>134</v>
      </c>
      <c r="F49" s="200">
        <v>316</v>
      </c>
      <c r="G49" s="137"/>
      <c r="L49" s="3" t="s">
        <v>23</v>
      </c>
      <c r="M49" s="138">
        <f aca="true" t="shared" si="0" ref="M49">D49/C49*100</f>
        <v>31.08728943338438</v>
      </c>
      <c r="N49" s="138">
        <f aca="true" t="shared" si="1" ref="N49">E49/C49*100</f>
        <v>20.520673813169985</v>
      </c>
      <c r="O49" s="138">
        <f>F49/C49*100</f>
        <v>48.39203675344563</v>
      </c>
      <c r="P49" s="3">
        <f aca="true" t="shared" si="2" ref="P49">SUM(M49:O49)</f>
        <v>100</v>
      </c>
      <c r="Q49" s="22"/>
    </row>
    <row r="50" spans="2:17" ht="15">
      <c r="B50" s="3" t="s">
        <v>1</v>
      </c>
      <c r="C50" s="200">
        <v>45.2</v>
      </c>
      <c r="D50" s="200">
        <v>2.2</v>
      </c>
      <c r="E50" s="200">
        <v>43</v>
      </c>
      <c r="F50" s="200" t="s">
        <v>13</v>
      </c>
      <c r="G50" s="22"/>
      <c r="L50" s="3" t="s">
        <v>1</v>
      </c>
      <c r="M50" s="138">
        <f aca="true" t="shared" si="3" ref="M50:M53">D50/C50*100</f>
        <v>4.867256637168142</v>
      </c>
      <c r="N50" s="138">
        <f aca="true" t="shared" si="4" ref="N50:N53">E50/C50*100</f>
        <v>95.13274336283185</v>
      </c>
      <c r="O50" s="138">
        <v>0</v>
      </c>
      <c r="P50" s="3">
        <f aca="true" t="shared" si="5" ref="P50:P53">SUM(M50:O50)</f>
        <v>99.99999999999999</v>
      </c>
      <c r="Q50" s="22"/>
    </row>
    <row r="51" spans="2:17" ht="15">
      <c r="B51" s="3" t="s">
        <v>4</v>
      </c>
      <c r="C51" s="200">
        <v>651.294</v>
      </c>
      <c r="D51" s="200">
        <v>207.709</v>
      </c>
      <c r="E51" s="200">
        <v>380.272</v>
      </c>
      <c r="F51" s="200">
        <v>63.313</v>
      </c>
      <c r="G51" s="22"/>
      <c r="L51" s="3" t="s">
        <v>4</v>
      </c>
      <c r="M51" s="138">
        <f t="shared" si="3"/>
        <v>31.89174167119611</v>
      </c>
      <c r="N51" s="138">
        <f t="shared" si="4"/>
        <v>58.38714927513534</v>
      </c>
      <c r="O51" s="138">
        <f>F51/C51*100</f>
        <v>9.721109053668544</v>
      </c>
      <c r="P51" s="3">
        <f t="shared" si="5"/>
        <v>100</v>
      </c>
      <c r="Q51" s="22"/>
    </row>
    <row r="52" spans="2:17" ht="15">
      <c r="B52" s="3" t="s">
        <v>5</v>
      </c>
      <c r="C52" s="200">
        <v>15</v>
      </c>
      <c r="D52" s="200">
        <v>4</v>
      </c>
      <c r="E52" s="200">
        <v>11</v>
      </c>
      <c r="F52" s="200">
        <v>0</v>
      </c>
      <c r="G52" s="22"/>
      <c r="L52" s="3" t="s">
        <v>5</v>
      </c>
      <c r="M52" s="138">
        <f t="shared" si="3"/>
        <v>26.666666666666668</v>
      </c>
      <c r="N52" s="138">
        <f t="shared" si="4"/>
        <v>73.33333333333333</v>
      </c>
      <c r="O52" s="138">
        <v>0</v>
      </c>
      <c r="P52" s="3">
        <f t="shared" si="5"/>
        <v>100</v>
      </c>
      <c r="Q52" s="22"/>
    </row>
    <row r="53" spans="2:17" ht="15">
      <c r="B53" s="3" t="s">
        <v>30</v>
      </c>
      <c r="C53" s="200">
        <v>6.5</v>
      </c>
      <c r="D53" s="200">
        <v>5.2</v>
      </c>
      <c r="E53" s="200">
        <v>1.3</v>
      </c>
      <c r="F53" s="200">
        <v>0</v>
      </c>
      <c r="G53" s="22"/>
      <c r="L53" s="3" t="s">
        <v>30</v>
      </c>
      <c r="M53" s="138">
        <f t="shared" si="3"/>
        <v>80</v>
      </c>
      <c r="N53" s="138">
        <f t="shared" si="4"/>
        <v>20</v>
      </c>
      <c r="O53" s="138">
        <v>0</v>
      </c>
      <c r="P53" s="3">
        <f t="shared" si="5"/>
        <v>100</v>
      </c>
      <c r="Q53" s="22"/>
    </row>
    <row r="54" spans="2:17" ht="15">
      <c r="B54" s="3" t="s">
        <v>32</v>
      </c>
      <c r="C54" s="200">
        <v>8766</v>
      </c>
      <c r="D54" s="200">
        <v>669</v>
      </c>
      <c r="E54" s="200">
        <v>4586</v>
      </c>
      <c r="F54" s="200">
        <v>3511</v>
      </c>
      <c r="G54" s="22"/>
      <c r="L54" s="3" t="s">
        <v>32</v>
      </c>
      <c r="M54" s="138">
        <f>D54/C54*100</f>
        <v>7.631759069130732</v>
      </c>
      <c r="N54" s="138">
        <f>E54/C54*100</f>
        <v>52.31576545744924</v>
      </c>
      <c r="O54" s="138">
        <f>F54/C54*100</f>
        <v>40.05247547342003</v>
      </c>
      <c r="P54" s="3">
        <f>SUM(M54:O54)</f>
        <v>100</v>
      </c>
      <c r="Q54" s="22"/>
    </row>
    <row r="55" spans="2:17" ht="15">
      <c r="B55" s="3" t="s">
        <v>7</v>
      </c>
      <c r="C55" s="200">
        <v>49.134</v>
      </c>
      <c r="D55" s="200">
        <v>28.218</v>
      </c>
      <c r="E55" s="200">
        <v>20.916</v>
      </c>
      <c r="F55" s="200" t="s">
        <v>13</v>
      </c>
      <c r="G55" s="22"/>
      <c r="L55" s="3" t="s">
        <v>7</v>
      </c>
      <c r="M55" s="138">
        <f>D55/C55*100</f>
        <v>57.430699719135426</v>
      </c>
      <c r="N55" s="138">
        <f>E55/C55*100</f>
        <v>42.569300280864574</v>
      </c>
      <c r="O55" s="138" t="s">
        <v>13</v>
      </c>
      <c r="P55" s="3">
        <f>SUM(M55:O55)</f>
        <v>100</v>
      </c>
      <c r="Q55" s="22"/>
    </row>
    <row r="56" spans="2:17" ht="15">
      <c r="B56" s="3" t="s">
        <v>8</v>
      </c>
      <c r="C56" s="200">
        <v>215</v>
      </c>
      <c r="D56" s="200">
        <v>29</v>
      </c>
      <c r="E56" s="200">
        <v>148</v>
      </c>
      <c r="F56" s="200">
        <v>38</v>
      </c>
      <c r="G56" s="22"/>
      <c r="L56" s="3" t="s">
        <v>8</v>
      </c>
      <c r="M56" s="138">
        <f>D56/C56*100</f>
        <v>13.488372093023257</v>
      </c>
      <c r="N56" s="138">
        <f>E56/C56*100</f>
        <v>68.83720930232559</v>
      </c>
      <c r="O56" s="138">
        <f>F56/C56*100</f>
        <v>17.674418604651162</v>
      </c>
      <c r="P56" s="3">
        <f>SUM(M56:O56)</f>
        <v>100.00000000000001</v>
      </c>
      <c r="Q56" s="22"/>
    </row>
    <row r="57" spans="2:17" ht="15">
      <c r="B57" s="3" t="s">
        <v>9</v>
      </c>
      <c r="C57" s="200">
        <v>8.9</v>
      </c>
      <c r="D57" s="200">
        <v>0.5</v>
      </c>
      <c r="E57" s="200">
        <v>8.4</v>
      </c>
      <c r="F57" s="200">
        <v>0</v>
      </c>
      <c r="G57" s="22"/>
      <c r="L57" s="3" t="s">
        <v>9</v>
      </c>
      <c r="M57" s="138">
        <f>D57/C57*100</f>
        <v>5.617977528089887</v>
      </c>
      <c r="N57" s="138">
        <f>E57/C57*100</f>
        <v>94.3820224719101</v>
      </c>
      <c r="O57" s="138">
        <f>F57/C57*100</f>
        <v>0</v>
      </c>
      <c r="P57" s="3">
        <f>SUM(M57:O57)</f>
        <v>99.99999999999999</v>
      </c>
      <c r="Q57" s="22"/>
    </row>
    <row r="58" spans="2:17" ht="15">
      <c r="B58" s="3" t="s">
        <v>10</v>
      </c>
      <c r="C58" s="200">
        <v>16</v>
      </c>
      <c r="D58" s="200">
        <v>13</v>
      </c>
      <c r="E58" s="200">
        <v>3</v>
      </c>
      <c r="F58" s="200">
        <v>0</v>
      </c>
      <c r="G58" s="22"/>
      <c r="L58" s="3" t="s">
        <v>10</v>
      </c>
      <c r="M58" s="138">
        <f>D58/C58*100</f>
        <v>81.25</v>
      </c>
      <c r="N58" s="138">
        <f>E58/C58*100</f>
        <v>18.75</v>
      </c>
      <c r="O58" s="138">
        <f>F58/C58*100</f>
        <v>0</v>
      </c>
      <c r="P58" s="3">
        <f>SUM(M58:O58)</f>
        <v>100</v>
      </c>
      <c r="Q58" s="22"/>
    </row>
    <row r="59" spans="3:6" ht="15">
      <c r="C59" s="200"/>
      <c r="D59" s="200"/>
      <c r="E59" s="200"/>
      <c r="F59" s="200"/>
    </row>
    <row r="60" spans="2:16" ht="15">
      <c r="B60" s="69" t="s">
        <v>64</v>
      </c>
      <c r="C60" s="202">
        <v>98</v>
      </c>
      <c r="D60" s="202">
        <v>20</v>
      </c>
      <c r="E60" s="202">
        <v>75</v>
      </c>
      <c r="F60" s="202">
        <v>3</v>
      </c>
      <c r="L60" s="3" t="s">
        <v>64</v>
      </c>
      <c r="M60" s="138">
        <f>D60/C60*100</f>
        <v>20.408163265306122</v>
      </c>
      <c r="N60" s="138">
        <f>E60/C60*100</f>
        <v>76.53061224489795</v>
      </c>
      <c r="O60" s="138">
        <f>F60/C60*100</f>
        <v>3.061224489795918</v>
      </c>
      <c r="P60" s="3">
        <f>SUM(M60:O60)</f>
        <v>99.99999999999999</v>
      </c>
    </row>
    <row r="62" spans="3:5" ht="15">
      <c r="C62" s="3" t="s">
        <v>48</v>
      </c>
      <c r="D62" s="3" t="s">
        <v>49</v>
      </c>
      <c r="E62" s="3" t="s">
        <v>20</v>
      </c>
    </row>
    <row r="63" spans="2:13" ht="15">
      <c r="B63" s="3" t="s">
        <v>1</v>
      </c>
      <c r="C63" s="22">
        <v>4.867256637168142</v>
      </c>
      <c r="D63" s="22">
        <v>95.13274336283185</v>
      </c>
      <c r="E63" s="22">
        <v>0</v>
      </c>
      <c r="M63" s="22"/>
    </row>
    <row r="64" spans="2:13" ht="15">
      <c r="B64" s="3" t="s">
        <v>9</v>
      </c>
      <c r="C64" s="22">
        <v>5.617977528089887</v>
      </c>
      <c r="D64" s="22">
        <v>94.3820224719101</v>
      </c>
      <c r="E64" s="22">
        <v>0</v>
      </c>
      <c r="M64" s="22"/>
    </row>
    <row r="65" spans="2:13" ht="15">
      <c r="B65" s="3" t="s">
        <v>5</v>
      </c>
      <c r="C65" s="22">
        <v>26.666666666666668</v>
      </c>
      <c r="D65" s="22">
        <v>73.33333333333333</v>
      </c>
      <c r="E65" s="22">
        <v>0</v>
      </c>
      <c r="M65" s="22"/>
    </row>
    <row r="66" spans="2:13" ht="15">
      <c r="B66" s="3" t="s">
        <v>8</v>
      </c>
      <c r="C66" s="22">
        <v>13.488372093023257</v>
      </c>
      <c r="D66" s="22">
        <v>68.83720930232559</v>
      </c>
      <c r="E66" s="22">
        <v>17.674418604651162</v>
      </c>
      <c r="M66" s="22"/>
    </row>
    <row r="67" spans="2:13" ht="15">
      <c r="B67" s="3" t="s">
        <v>4</v>
      </c>
      <c r="C67" s="22">
        <v>31.89174167119611</v>
      </c>
      <c r="D67" s="22">
        <v>58.38714927513534</v>
      </c>
      <c r="E67" s="22">
        <v>9.721109053668544</v>
      </c>
      <c r="M67" s="22"/>
    </row>
    <row r="68" spans="2:13" ht="15">
      <c r="B68" s="3" t="s">
        <v>32</v>
      </c>
      <c r="C68" s="22">
        <v>7.631759069130732</v>
      </c>
      <c r="D68" s="22">
        <v>52.31576545744924</v>
      </c>
      <c r="E68" s="22">
        <v>40.05247547342003</v>
      </c>
      <c r="M68" s="22"/>
    </row>
    <row r="69" spans="2:13" ht="15">
      <c r="B69" s="3" t="s">
        <v>7</v>
      </c>
      <c r="C69" s="22">
        <v>57.430699719135426</v>
      </c>
      <c r="D69" s="22">
        <v>42.569300280864574</v>
      </c>
      <c r="E69" s="22" t="s">
        <v>13</v>
      </c>
      <c r="M69" s="22"/>
    </row>
    <row r="70" spans="2:13" ht="15">
      <c r="B70" s="3" t="s">
        <v>23</v>
      </c>
      <c r="C70" s="22">
        <v>31.08728943338438</v>
      </c>
      <c r="D70" s="22">
        <v>20.520673813169985</v>
      </c>
      <c r="E70" s="22">
        <v>48.39203675344563</v>
      </c>
      <c r="M70" s="22"/>
    </row>
    <row r="71" spans="2:13" ht="15">
      <c r="B71" s="3" t="s">
        <v>30</v>
      </c>
      <c r="C71" s="22">
        <v>80</v>
      </c>
      <c r="D71" s="22">
        <v>20</v>
      </c>
      <c r="E71" s="22">
        <v>0</v>
      </c>
      <c r="M71" s="22"/>
    </row>
    <row r="72" spans="2:13" ht="15">
      <c r="B72" s="3" t="s">
        <v>10</v>
      </c>
      <c r="C72" s="22">
        <v>81.25</v>
      </c>
      <c r="D72" s="22">
        <v>18.75</v>
      </c>
      <c r="E72" s="22">
        <v>0</v>
      </c>
      <c r="M72" s="22"/>
    </row>
    <row r="73" spans="3:5" ht="15">
      <c r="C73" s="22"/>
      <c r="D73" s="22"/>
      <c r="E73" s="22"/>
    </row>
    <row r="74" spans="2:5" ht="15">
      <c r="B74" s="3" t="s">
        <v>64</v>
      </c>
      <c r="C74" s="22">
        <v>20.408163265306122</v>
      </c>
      <c r="D74" s="22">
        <v>76.53061224489795</v>
      </c>
      <c r="E74" s="22">
        <v>3.061224489795918</v>
      </c>
    </row>
    <row r="75" spans="3:5" ht="15">
      <c r="C75" s="22"/>
      <c r="D75" s="22"/>
      <c r="E75" s="22"/>
    </row>
  </sheetData>
  <autoFilter ref="B62:F62">
    <sortState ref="B63:F75">
      <sortCondition descending="1" sortBy="value" ref="D63:D7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2:P82"/>
  <sheetViews>
    <sheetView showGridLines="0" workbookViewId="0" topLeftCell="A1">
      <selection activeCell="T25" sqref="T25"/>
    </sheetView>
  </sheetViews>
  <sheetFormatPr defaultColWidth="9.28125" defaultRowHeight="15"/>
  <cols>
    <col min="1" max="12" width="9.28125" style="3" customWidth="1"/>
    <col min="13" max="14" width="10.421875" style="3" bestFit="1" customWidth="1"/>
    <col min="15" max="16" width="9.28125" style="3" bestFit="1" customWidth="1"/>
    <col min="17" max="19" width="10.421875" style="3" bestFit="1" customWidth="1"/>
    <col min="20" max="16384" width="9.28125" style="3" customWidth="1"/>
  </cols>
  <sheetData>
    <row r="1" ht="12.75"/>
    <row r="2" ht="12.75">
      <c r="B2" s="4" t="s">
        <v>204</v>
      </c>
    </row>
    <row r="3" ht="12.75">
      <c r="B3" s="1" t="s">
        <v>11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>
      <c r="B12" s="4"/>
    </row>
    <row r="13" ht="12.75">
      <c r="B13" s="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45" ht="15">
      <c r="B45" s="3" t="s">
        <v>135</v>
      </c>
    </row>
    <row r="46" ht="13">
      <c r="B46" s="32" t="s">
        <v>150</v>
      </c>
    </row>
    <row r="49" spans="2:15" ht="15">
      <c r="B49" s="3" t="s">
        <v>51</v>
      </c>
      <c r="C49" s="3" t="s">
        <v>19</v>
      </c>
      <c r="D49" s="3" t="s">
        <v>48</v>
      </c>
      <c r="E49" s="3" t="s">
        <v>49</v>
      </c>
      <c r="F49" s="3" t="s">
        <v>20</v>
      </c>
      <c r="M49" s="3" t="s">
        <v>48</v>
      </c>
      <c r="N49" s="3" t="s">
        <v>49</v>
      </c>
      <c r="O49" s="3" t="s">
        <v>20</v>
      </c>
    </row>
    <row r="50" spans="2:16" ht="15">
      <c r="B50" s="3" t="s">
        <v>23</v>
      </c>
      <c r="C50" s="200">
        <v>665</v>
      </c>
      <c r="D50" s="200">
        <v>48</v>
      </c>
      <c r="E50" s="200">
        <v>241</v>
      </c>
      <c r="F50" s="200">
        <v>376</v>
      </c>
      <c r="L50" s="3" t="s">
        <v>23</v>
      </c>
      <c r="M50" s="77">
        <f aca="true" t="shared" si="0" ref="M50">D50/C50*100</f>
        <v>7.218045112781955</v>
      </c>
      <c r="N50" s="22">
        <f aca="true" t="shared" si="1" ref="N50">E50/C50*100</f>
        <v>36.2406015037594</v>
      </c>
      <c r="O50" s="22">
        <f>F50/C50*100</f>
        <v>56.54135338345865</v>
      </c>
      <c r="P50" s="77">
        <f>SUM(M50:O50)</f>
        <v>100</v>
      </c>
    </row>
    <row r="51" spans="2:16" ht="15">
      <c r="B51" s="3" t="s">
        <v>1</v>
      </c>
      <c r="C51" s="200">
        <v>180.7</v>
      </c>
      <c r="D51" s="200">
        <v>1.1</v>
      </c>
      <c r="E51" s="200">
        <v>179.6</v>
      </c>
      <c r="F51" s="200" t="s">
        <v>13</v>
      </c>
      <c r="L51" s="3" t="s">
        <v>1</v>
      </c>
      <c r="M51" s="77">
        <f aca="true" t="shared" si="2" ref="M51:M59">D51/C51*100</f>
        <v>0.6087437742114001</v>
      </c>
      <c r="N51" s="22">
        <f aca="true" t="shared" si="3" ref="N51:N59">E51/C51*100</f>
        <v>99.39125622578861</v>
      </c>
      <c r="O51" s="22"/>
      <c r="P51" s="77">
        <f>SUM(M51:O51)</f>
        <v>100.00000000000001</v>
      </c>
    </row>
    <row r="52" spans="2:16" ht="15">
      <c r="B52" s="3" t="s">
        <v>4</v>
      </c>
      <c r="C52" s="200">
        <v>441.087</v>
      </c>
      <c r="D52" s="200">
        <v>107.765</v>
      </c>
      <c r="E52" s="200">
        <v>323.39</v>
      </c>
      <c r="F52" s="200">
        <v>9.932</v>
      </c>
      <c r="L52" s="3" t="s">
        <v>4</v>
      </c>
      <c r="M52" s="77">
        <f t="shared" si="2"/>
        <v>24.431688079675894</v>
      </c>
      <c r="N52" s="22">
        <f t="shared" si="3"/>
        <v>73.31660194020681</v>
      </c>
      <c r="O52" s="22">
        <f>F52/C52*100</f>
        <v>2.251709980117301</v>
      </c>
      <c r="P52" s="77">
        <f aca="true" t="shared" si="4" ref="P52:P58">SUM(M52:O52)</f>
        <v>100</v>
      </c>
    </row>
    <row r="53" spans="2:16" ht="15">
      <c r="B53" s="3" t="s">
        <v>5</v>
      </c>
      <c r="C53" s="200">
        <v>62</v>
      </c>
      <c r="D53" s="200">
        <v>18</v>
      </c>
      <c r="E53" s="200">
        <v>44</v>
      </c>
      <c r="F53" s="200">
        <v>0</v>
      </c>
      <c r="L53" s="3" t="s">
        <v>5</v>
      </c>
      <c r="M53" s="77">
        <f t="shared" si="2"/>
        <v>29.03225806451613</v>
      </c>
      <c r="N53" s="22">
        <f t="shared" si="3"/>
        <v>70.96774193548387</v>
      </c>
      <c r="O53" s="22"/>
      <c r="P53" s="77">
        <f t="shared" si="4"/>
        <v>100</v>
      </c>
    </row>
    <row r="54" spans="2:16" ht="15">
      <c r="B54" s="3" t="s">
        <v>30</v>
      </c>
      <c r="C54" s="200">
        <v>3.1</v>
      </c>
      <c r="D54" s="200">
        <v>2.1</v>
      </c>
      <c r="E54" s="200">
        <v>1</v>
      </c>
      <c r="F54" s="200">
        <v>0</v>
      </c>
      <c r="L54" s="3" t="s">
        <v>30</v>
      </c>
      <c r="M54" s="77">
        <f t="shared" si="2"/>
        <v>67.74193548387098</v>
      </c>
      <c r="N54" s="22">
        <f t="shared" si="3"/>
        <v>32.25806451612903</v>
      </c>
      <c r="O54" s="22"/>
      <c r="P54" s="77">
        <f t="shared" si="4"/>
        <v>100</v>
      </c>
    </row>
    <row r="55" spans="2:16" ht="15">
      <c r="B55" s="3" t="s">
        <v>32</v>
      </c>
      <c r="C55" s="200">
        <v>3463</v>
      </c>
      <c r="D55" s="200">
        <v>201</v>
      </c>
      <c r="E55" s="200">
        <v>2197</v>
      </c>
      <c r="F55" s="200">
        <v>1065</v>
      </c>
      <c r="L55" s="3" t="s">
        <v>32</v>
      </c>
      <c r="M55" s="77">
        <f t="shared" si="2"/>
        <v>5.804215997689864</v>
      </c>
      <c r="N55" s="22">
        <f t="shared" si="3"/>
        <v>63.442102223505636</v>
      </c>
      <c r="O55" s="22">
        <f>F55/C55*100</f>
        <v>30.753681778804502</v>
      </c>
      <c r="P55" s="77">
        <f t="shared" si="4"/>
        <v>100</v>
      </c>
    </row>
    <row r="56" spans="2:16" ht="15">
      <c r="B56" s="3" t="s">
        <v>7</v>
      </c>
      <c r="C56" s="200">
        <v>78.406</v>
      </c>
      <c r="D56" s="200">
        <v>52.387</v>
      </c>
      <c r="E56" s="200">
        <v>26.019</v>
      </c>
      <c r="F56" s="200" t="s">
        <v>13</v>
      </c>
      <c r="L56" s="3" t="s">
        <v>7</v>
      </c>
      <c r="M56" s="77">
        <f t="shared" si="2"/>
        <v>66.81503966533174</v>
      </c>
      <c r="N56" s="22">
        <f t="shared" si="3"/>
        <v>33.18496033466826</v>
      </c>
      <c r="O56" s="22"/>
      <c r="P56" s="77">
        <f t="shared" si="4"/>
        <v>100</v>
      </c>
    </row>
    <row r="57" spans="2:16" ht="15">
      <c r="B57" s="3" t="s">
        <v>8</v>
      </c>
      <c r="C57" s="200">
        <v>1439</v>
      </c>
      <c r="D57" s="200">
        <v>54</v>
      </c>
      <c r="E57" s="200">
        <v>1345</v>
      </c>
      <c r="F57" s="200">
        <v>40</v>
      </c>
      <c r="L57" s="3" t="s">
        <v>8</v>
      </c>
      <c r="M57" s="77">
        <f t="shared" si="2"/>
        <v>3.7526059763724806</v>
      </c>
      <c r="N57" s="22">
        <f t="shared" si="3"/>
        <v>93.46768589298124</v>
      </c>
      <c r="O57" s="22">
        <f>F57/C57*100</f>
        <v>2.779708130646282</v>
      </c>
      <c r="P57" s="77">
        <f t="shared" si="4"/>
        <v>100</v>
      </c>
    </row>
    <row r="58" spans="2:16" ht="15">
      <c r="B58" s="3" t="s">
        <v>9</v>
      </c>
      <c r="C58" s="200">
        <v>159.6</v>
      </c>
      <c r="D58" s="200">
        <v>7.2</v>
      </c>
      <c r="E58" s="200">
        <v>152.4</v>
      </c>
      <c r="F58" s="200">
        <v>0</v>
      </c>
      <c r="L58" s="3" t="s">
        <v>9</v>
      </c>
      <c r="M58" s="77">
        <f t="shared" si="2"/>
        <v>4.511278195488722</v>
      </c>
      <c r="N58" s="22">
        <f t="shared" si="3"/>
        <v>95.48872180451129</v>
      </c>
      <c r="O58" s="22">
        <f>F58/C58*100</f>
        <v>0</v>
      </c>
      <c r="P58" s="77">
        <f t="shared" si="4"/>
        <v>100.00000000000001</v>
      </c>
    </row>
    <row r="59" spans="2:16" ht="15">
      <c r="B59" s="3" t="s">
        <v>10</v>
      </c>
      <c r="C59" s="200">
        <v>9</v>
      </c>
      <c r="D59" s="200">
        <v>9</v>
      </c>
      <c r="E59" s="200">
        <v>0</v>
      </c>
      <c r="F59" s="200">
        <v>0</v>
      </c>
      <c r="L59" s="3" t="s">
        <v>10</v>
      </c>
      <c r="M59" s="77">
        <f t="shared" si="2"/>
        <v>100</v>
      </c>
      <c r="N59" s="22">
        <f t="shared" si="3"/>
        <v>0</v>
      </c>
      <c r="O59" s="22">
        <f>F59/C59*100</f>
        <v>0</v>
      </c>
      <c r="P59" s="77">
        <f aca="true" t="shared" si="5" ref="P59">SUM(M59:O59)</f>
        <v>100</v>
      </c>
    </row>
    <row r="60" spans="3:6" ht="15">
      <c r="C60" s="194"/>
      <c r="D60" s="194"/>
      <c r="E60" s="194"/>
      <c r="F60" s="194"/>
    </row>
    <row r="61" spans="2:16" ht="15">
      <c r="B61" s="69" t="s">
        <v>64</v>
      </c>
      <c r="C61" s="203">
        <v>281</v>
      </c>
      <c r="D61" s="203">
        <v>30</v>
      </c>
      <c r="E61" s="203">
        <v>248</v>
      </c>
      <c r="F61" s="203">
        <v>3</v>
      </c>
      <c r="L61" s="3" t="s">
        <v>64</v>
      </c>
      <c r="M61" s="77">
        <f aca="true" t="shared" si="6" ref="M61">D61/C61*100</f>
        <v>10.676156583629894</v>
      </c>
      <c r="N61" s="22">
        <f aca="true" t="shared" si="7" ref="N61">E61/C61*100</f>
        <v>88.25622775800713</v>
      </c>
      <c r="O61" s="22">
        <f>F61/C61*100</f>
        <v>1.0676156583629894</v>
      </c>
      <c r="P61" s="77">
        <f aca="true" t="shared" si="8" ref="P61">SUM(M61:O61)</f>
        <v>100.00000000000001</v>
      </c>
    </row>
    <row r="63" spans="2:3" ht="15">
      <c r="B63" s="139" t="s">
        <v>46</v>
      </c>
      <c r="C63" s="139"/>
    </row>
    <row r="64" spans="2:14" ht="15">
      <c r="B64" s="139" t="s">
        <v>13</v>
      </c>
      <c r="C64" s="139" t="s">
        <v>47</v>
      </c>
      <c r="N64" s="22"/>
    </row>
    <row r="65" ht="15">
      <c r="N65" s="22"/>
    </row>
    <row r="66" ht="15">
      <c r="N66" s="22"/>
    </row>
    <row r="67" ht="15">
      <c r="N67" s="22"/>
    </row>
    <row r="68" ht="15">
      <c r="N68" s="22"/>
    </row>
    <row r="69" spans="3:14" ht="15">
      <c r="C69" s="108"/>
      <c r="N69" s="22"/>
    </row>
    <row r="70" spans="3:14" ht="15">
      <c r="C70" s="3" t="s">
        <v>48</v>
      </c>
      <c r="D70" s="3" t="s">
        <v>49</v>
      </c>
      <c r="E70" s="3" t="s">
        <v>20</v>
      </c>
      <c r="N70" s="22"/>
    </row>
    <row r="71" spans="2:14" ht="15">
      <c r="B71" s="3" t="s">
        <v>1</v>
      </c>
      <c r="C71" s="22">
        <v>0.6087437742114001</v>
      </c>
      <c r="D71" s="22">
        <v>99.39125622578861</v>
      </c>
      <c r="E71" s="22"/>
      <c r="N71" s="22"/>
    </row>
    <row r="72" spans="2:14" ht="15">
      <c r="B72" s="3" t="s">
        <v>9</v>
      </c>
      <c r="C72" s="22">
        <v>4.511278195488722</v>
      </c>
      <c r="D72" s="22">
        <v>95.48872180451129</v>
      </c>
      <c r="E72" s="22">
        <v>0</v>
      </c>
      <c r="N72" s="22"/>
    </row>
    <row r="73" spans="2:14" ht="15">
      <c r="B73" s="3" t="s">
        <v>8</v>
      </c>
      <c r="C73" s="22">
        <v>3.7526059763724806</v>
      </c>
      <c r="D73" s="22">
        <v>93.46768589298124</v>
      </c>
      <c r="E73" s="22">
        <v>2.779708130646282</v>
      </c>
      <c r="N73" s="22"/>
    </row>
    <row r="74" spans="2:5" ht="15">
      <c r="B74" s="3" t="s">
        <v>4</v>
      </c>
      <c r="C74" s="22">
        <v>24.431688079675894</v>
      </c>
      <c r="D74" s="22">
        <v>73.31660194020681</v>
      </c>
      <c r="E74" s="22">
        <v>2.251709980117301</v>
      </c>
    </row>
    <row r="75" spans="2:5" ht="15">
      <c r="B75" s="3" t="s">
        <v>5</v>
      </c>
      <c r="C75" s="22">
        <v>29.03225806451613</v>
      </c>
      <c r="D75" s="22">
        <v>70.96774193548387</v>
      </c>
      <c r="E75" s="22"/>
    </row>
    <row r="76" spans="2:5" ht="15">
      <c r="B76" s="3" t="s">
        <v>32</v>
      </c>
      <c r="C76" s="22">
        <v>5.804215997689864</v>
      </c>
      <c r="D76" s="22">
        <v>63.442102223505636</v>
      </c>
      <c r="E76" s="22">
        <v>30.753681778804502</v>
      </c>
    </row>
    <row r="77" spans="2:5" ht="15">
      <c r="B77" s="3" t="s">
        <v>23</v>
      </c>
      <c r="C77" s="22">
        <v>7.218045112781955</v>
      </c>
      <c r="D77" s="22">
        <v>36.2406015037594</v>
      </c>
      <c r="E77" s="22">
        <v>56.54135338345865</v>
      </c>
    </row>
    <row r="78" spans="2:5" ht="15">
      <c r="B78" s="3" t="s">
        <v>7</v>
      </c>
      <c r="C78" s="22">
        <v>66.81503966533174</v>
      </c>
      <c r="D78" s="22">
        <v>33.18496033466826</v>
      </c>
      <c r="E78" s="22"/>
    </row>
    <row r="79" spans="2:5" ht="15">
      <c r="B79" s="3" t="s">
        <v>30</v>
      </c>
      <c r="C79" s="22">
        <v>67.74193548387098</v>
      </c>
      <c r="D79" s="22">
        <v>32.25806451612903</v>
      </c>
      <c r="E79" s="22"/>
    </row>
    <row r="80" spans="2:5" ht="15">
      <c r="B80" s="3" t="s">
        <v>10</v>
      </c>
      <c r="C80" s="22">
        <v>100</v>
      </c>
      <c r="D80" s="22">
        <v>0</v>
      </c>
      <c r="E80" s="22">
        <v>0</v>
      </c>
    </row>
    <row r="81" spans="3:5" ht="15">
      <c r="C81" s="22"/>
      <c r="D81" s="22"/>
      <c r="E81" s="22"/>
    </row>
    <row r="82" spans="2:5" ht="15">
      <c r="B82" s="3" t="s">
        <v>64</v>
      </c>
      <c r="C82" s="22">
        <v>10.676156583629894</v>
      </c>
      <c r="D82" s="22">
        <v>88.25622775800713</v>
      </c>
      <c r="E82" s="22">
        <v>1.0676156583629894</v>
      </c>
    </row>
  </sheetData>
  <autoFilter ref="B70:F80">
    <sortState ref="B71:F82">
      <sortCondition descending="1" sortBy="value" ref="D71:D8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2:AC87"/>
  <sheetViews>
    <sheetView showGridLines="0" workbookViewId="0" topLeftCell="A12">
      <selection activeCell="J30" sqref="J30"/>
    </sheetView>
  </sheetViews>
  <sheetFormatPr defaultColWidth="9.140625" defaultRowHeight="15"/>
  <cols>
    <col min="1" max="1" width="9.140625" style="3" customWidth="1"/>
    <col min="2" max="2" width="15.00390625" style="3" customWidth="1"/>
    <col min="3" max="5" width="9.140625" style="3" customWidth="1"/>
    <col min="6" max="6" width="16.7109375" style="3" customWidth="1"/>
    <col min="7" max="19" width="9.140625" style="3" customWidth="1"/>
    <col min="20" max="20" width="13.57421875" style="3" customWidth="1"/>
    <col min="21" max="21" width="16.140625" style="3" customWidth="1"/>
    <col min="22" max="22" width="11.7109375" style="3" customWidth="1"/>
    <col min="23" max="23" width="10.7109375" style="3" customWidth="1"/>
    <col min="24" max="24" width="18.57421875" style="3" customWidth="1"/>
    <col min="25" max="25" width="9.140625" style="3" customWidth="1"/>
    <col min="26" max="26" width="10.00390625" style="3" customWidth="1"/>
    <col min="27" max="27" width="11.00390625" style="3" bestFit="1" customWidth="1"/>
    <col min="28" max="28" width="10.00390625" style="3" customWidth="1"/>
    <col min="29" max="29" width="11.00390625" style="3" bestFit="1" customWidth="1"/>
    <col min="30" max="16384" width="9.140625" style="3" customWidth="1"/>
  </cols>
  <sheetData>
    <row r="1" ht="12.75"/>
    <row r="2" ht="12.75">
      <c r="B2" s="4" t="s">
        <v>208</v>
      </c>
    </row>
    <row r="3" ht="12.75">
      <c r="B3" s="1" t="s">
        <v>11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B21" s="4"/>
    </row>
    <row r="22" ht="12.75">
      <c r="B22" s="1"/>
    </row>
    <row r="23" ht="12.75"/>
    <row r="24" ht="12.75"/>
    <row r="25" ht="12.75"/>
    <row r="26" ht="12.75"/>
    <row r="27" ht="12.75"/>
    <row r="28" ht="12.75"/>
    <row r="29" ht="12.75"/>
    <row r="30" spans="2:10" ht="15" customHeight="1">
      <c r="B30" s="1"/>
      <c r="J30" s="32" t="s">
        <v>265</v>
      </c>
    </row>
    <row r="31" ht="15" customHeight="1">
      <c r="B31" s="1"/>
    </row>
    <row r="32" ht="15" customHeight="1">
      <c r="B32" s="1"/>
    </row>
    <row r="33" ht="15" customHeight="1">
      <c r="B33" s="1"/>
    </row>
    <row r="34" ht="57.25" customHeight="1">
      <c r="B34" s="1"/>
    </row>
    <row r="36" ht="13">
      <c r="A36" s="32" t="s">
        <v>264</v>
      </c>
    </row>
    <row r="39" ht="13">
      <c r="B39" s="3" t="s">
        <v>151</v>
      </c>
    </row>
    <row r="47" ht="13">
      <c r="A47" s="32" t="s">
        <v>264</v>
      </c>
    </row>
    <row r="55" spans="19:28" ht="37.5">
      <c r="S55" s="69"/>
      <c r="T55" s="214" t="s">
        <v>230</v>
      </c>
      <c r="U55" s="214" t="s">
        <v>231</v>
      </c>
      <c r="V55" s="214" t="s">
        <v>233</v>
      </c>
      <c r="W55" s="214" t="s">
        <v>234</v>
      </c>
      <c r="X55" s="214" t="s">
        <v>235</v>
      </c>
      <c r="Y55" s="69"/>
      <c r="Z55" s="214" t="s">
        <v>236</v>
      </c>
      <c r="AA55" s="69"/>
      <c r="AB55" s="211"/>
    </row>
    <row r="56" spans="12:29" ht="15">
      <c r="L56" s="3" t="s">
        <v>232</v>
      </c>
      <c r="M56" s="3" t="s">
        <v>210</v>
      </c>
      <c r="N56" s="3" t="s">
        <v>211</v>
      </c>
      <c r="O56" s="108">
        <f>SUM(O57:O83)</f>
        <v>5646</v>
      </c>
      <c r="S56" s="69"/>
      <c r="T56" s="69"/>
      <c r="U56" s="69"/>
      <c r="V56" s="215">
        <f>SUM(V57:V83)</f>
        <v>5401</v>
      </c>
      <c r="W56" s="216">
        <f>O56/V56-1</f>
        <v>0.04536197000555453</v>
      </c>
      <c r="X56" s="215">
        <f>SUM(X57:X83)</f>
        <v>5723</v>
      </c>
      <c r="Y56" s="69"/>
      <c r="Z56" s="215">
        <f>SUM(Z57:Z83)</f>
        <v>3484</v>
      </c>
      <c r="AA56" s="216">
        <f>Z56/X56</f>
        <v>0.6087716232745064</v>
      </c>
      <c r="AB56" s="212"/>
      <c r="AC56" s="213"/>
    </row>
    <row r="57" spans="6:28" ht="13">
      <c r="F57" s="221" t="s">
        <v>15</v>
      </c>
      <c r="G57" s="140" t="s">
        <v>18</v>
      </c>
      <c r="K57" s="3" t="s">
        <v>209</v>
      </c>
      <c r="L57" s="3" t="s">
        <v>113</v>
      </c>
      <c r="M57" s="3" t="s">
        <v>210</v>
      </c>
      <c r="N57" s="3" t="s">
        <v>211</v>
      </c>
      <c r="O57" s="108">
        <v>1058</v>
      </c>
      <c r="P57" s="8" t="s">
        <v>2</v>
      </c>
      <c r="Q57" s="3">
        <v>1058</v>
      </c>
      <c r="S57" s="69" t="str">
        <f>L57</f>
        <v>DE</v>
      </c>
      <c r="T57" s="215">
        <v>84551929</v>
      </c>
      <c r="U57" s="215">
        <f>O57*1000000/T57</f>
        <v>12.513020252914632</v>
      </c>
      <c r="V57" s="215">
        <v>1146</v>
      </c>
      <c r="W57" s="217">
        <f aca="true" t="shared" si="0" ref="W57:W83">O57/V57-1</f>
        <v>-0.07678883071553233</v>
      </c>
      <c r="X57" s="69">
        <v>969</v>
      </c>
      <c r="Y57" s="215">
        <f aca="true" t="shared" si="1" ref="Y57:Y67">X57-O57</f>
        <v>-89</v>
      </c>
      <c r="Z57" s="215">
        <v>435</v>
      </c>
      <c r="AA57" s="69"/>
      <c r="AB57" s="212"/>
    </row>
    <row r="58" spans="6:28" ht="13">
      <c r="F58" s="8" t="s">
        <v>2</v>
      </c>
      <c r="G58" s="141">
        <v>1058</v>
      </c>
      <c r="K58" s="3" t="s">
        <v>209</v>
      </c>
      <c r="L58" s="3" t="s">
        <v>116</v>
      </c>
      <c r="M58" s="3" t="s">
        <v>210</v>
      </c>
      <c r="N58" s="3" t="s">
        <v>211</v>
      </c>
      <c r="O58" s="108">
        <v>548</v>
      </c>
      <c r="P58" s="11" t="s">
        <v>27</v>
      </c>
      <c r="Q58" s="3">
        <v>548</v>
      </c>
      <c r="S58" s="69" t="str">
        <f aca="true" t="shared" si="2" ref="S58:S83">L58</f>
        <v>ES</v>
      </c>
      <c r="T58" s="215">
        <v>47980384</v>
      </c>
      <c r="U58" s="215">
        <f aca="true" t="shared" si="3" ref="U58:U83">O58*1000000/T58</f>
        <v>11.421334185237033</v>
      </c>
      <c r="V58" s="215">
        <v>455</v>
      </c>
      <c r="W58" s="217">
        <f t="shared" si="0"/>
        <v>0.20439560439560434</v>
      </c>
      <c r="X58" s="69">
        <v>570</v>
      </c>
      <c r="Y58" s="215">
        <f t="shared" si="1"/>
        <v>22</v>
      </c>
      <c r="Z58" s="215">
        <v>401</v>
      </c>
      <c r="AA58" s="69"/>
      <c r="AB58" s="212"/>
    </row>
    <row r="59" spans="6:28" ht="13">
      <c r="F59" s="11" t="s">
        <v>27</v>
      </c>
      <c r="G59" s="142">
        <v>548</v>
      </c>
      <c r="K59" s="3" t="s">
        <v>209</v>
      </c>
      <c r="L59" s="3" t="s">
        <v>118</v>
      </c>
      <c r="M59" s="3" t="s">
        <v>210</v>
      </c>
      <c r="N59" s="3" t="s">
        <v>211</v>
      </c>
      <c r="O59" s="108">
        <v>503</v>
      </c>
      <c r="P59" s="11" t="s">
        <v>4</v>
      </c>
      <c r="Q59" s="3">
        <v>503</v>
      </c>
      <c r="S59" s="69" t="str">
        <f t="shared" si="2"/>
        <v>FR</v>
      </c>
      <c r="T59" s="215">
        <v>68227636</v>
      </c>
      <c r="U59" s="215">
        <f t="shared" si="3"/>
        <v>7.372379133874725</v>
      </c>
      <c r="V59" s="215">
        <v>602</v>
      </c>
      <c r="W59" s="217">
        <f t="shared" si="0"/>
        <v>-0.16445182724252494</v>
      </c>
      <c r="X59" s="69">
        <v>586</v>
      </c>
      <c r="Y59" s="215">
        <f t="shared" si="1"/>
        <v>83</v>
      </c>
      <c r="Z59" s="215">
        <v>427</v>
      </c>
      <c r="AA59" s="69"/>
      <c r="AB59" s="212"/>
    </row>
    <row r="60" spans="6:28" ht="13">
      <c r="F60" s="11" t="s">
        <v>4</v>
      </c>
      <c r="G60" s="142">
        <v>503</v>
      </c>
      <c r="K60" s="3" t="s">
        <v>209</v>
      </c>
      <c r="L60" s="3" t="s">
        <v>127</v>
      </c>
      <c r="M60" s="3" t="s">
        <v>210</v>
      </c>
      <c r="N60" s="3" t="s">
        <v>211</v>
      </c>
      <c r="O60" s="108">
        <v>492</v>
      </c>
      <c r="P60" s="11" t="s">
        <v>41</v>
      </c>
      <c r="Q60" s="3">
        <v>492</v>
      </c>
      <c r="S60" s="69" t="str">
        <f t="shared" si="2"/>
        <v>MT</v>
      </c>
      <c r="T60" s="215">
        <v>532640</v>
      </c>
      <c r="U60" s="215">
        <f t="shared" si="3"/>
        <v>923.7008110543707</v>
      </c>
      <c r="V60" s="215">
        <v>57</v>
      </c>
      <c r="W60" s="217">
        <f t="shared" si="0"/>
        <v>7.631578947368421</v>
      </c>
      <c r="X60" s="214">
        <v>527</v>
      </c>
      <c r="Y60" s="215">
        <f t="shared" si="1"/>
        <v>35</v>
      </c>
      <c r="Z60" s="215">
        <v>294</v>
      </c>
      <c r="AA60" s="69"/>
      <c r="AB60" s="212"/>
    </row>
    <row r="61" spans="6:28" ht="13">
      <c r="F61" s="11" t="s">
        <v>41</v>
      </c>
      <c r="G61" s="142">
        <v>492</v>
      </c>
      <c r="K61" s="3" t="s">
        <v>209</v>
      </c>
      <c r="L61" s="3" t="s">
        <v>108</v>
      </c>
      <c r="M61" s="3" t="s">
        <v>210</v>
      </c>
      <c r="N61" s="3" t="s">
        <v>211</v>
      </c>
      <c r="O61" s="108">
        <v>415</v>
      </c>
      <c r="P61" s="11" t="s">
        <v>33</v>
      </c>
      <c r="Q61" s="3">
        <v>415</v>
      </c>
      <c r="S61" s="69" t="str">
        <f t="shared" si="2"/>
        <v>AT</v>
      </c>
      <c r="T61" s="215">
        <v>9073118</v>
      </c>
      <c r="U61" s="215">
        <f t="shared" si="3"/>
        <v>45.73951314200917</v>
      </c>
      <c r="V61" s="215">
        <v>375</v>
      </c>
      <c r="W61" s="217">
        <f t="shared" si="0"/>
        <v>0.10666666666666669</v>
      </c>
      <c r="X61" s="69">
        <v>435</v>
      </c>
      <c r="Y61" s="215">
        <f t="shared" si="1"/>
        <v>20</v>
      </c>
      <c r="Z61" s="215">
        <v>186</v>
      </c>
      <c r="AA61" s="69"/>
      <c r="AB61" s="212"/>
    </row>
    <row r="62" spans="6:28" ht="13">
      <c r="F62" s="11" t="s">
        <v>33</v>
      </c>
      <c r="G62" s="142">
        <v>415</v>
      </c>
      <c r="K62" s="3" t="s">
        <v>209</v>
      </c>
      <c r="L62" s="3" t="s">
        <v>122</v>
      </c>
      <c r="M62" s="3" t="s">
        <v>210</v>
      </c>
      <c r="N62" s="3" t="s">
        <v>211</v>
      </c>
      <c r="O62" s="108">
        <v>386</v>
      </c>
      <c r="P62" s="11" t="s">
        <v>25</v>
      </c>
      <c r="Q62" s="3">
        <v>386</v>
      </c>
      <c r="S62" s="69" t="str">
        <f t="shared" si="2"/>
        <v>IE</v>
      </c>
      <c r="T62" s="215">
        <v>5174288</v>
      </c>
      <c r="U62" s="215">
        <f t="shared" si="3"/>
        <v>74.5996357373227</v>
      </c>
      <c r="V62" s="215">
        <v>428</v>
      </c>
      <c r="W62" s="217">
        <f t="shared" si="0"/>
        <v>-0.09813084112149528</v>
      </c>
      <c r="X62" s="69">
        <v>537</v>
      </c>
      <c r="Y62" s="215">
        <f t="shared" si="1"/>
        <v>151</v>
      </c>
      <c r="Z62" s="215">
        <v>479</v>
      </c>
      <c r="AA62" s="69"/>
      <c r="AB62" s="212"/>
    </row>
    <row r="63" spans="6:28" ht="13">
      <c r="F63" s="11" t="s">
        <v>25</v>
      </c>
      <c r="G63" s="142">
        <v>386</v>
      </c>
      <c r="K63" s="3" t="s">
        <v>209</v>
      </c>
      <c r="L63" s="3" t="s">
        <v>128</v>
      </c>
      <c r="M63" s="3" t="s">
        <v>210</v>
      </c>
      <c r="N63" s="3" t="s">
        <v>211</v>
      </c>
      <c r="O63" s="108">
        <v>243</v>
      </c>
      <c r="P63" s="11" t="s">
        <v>32</v>
      </c>
      <c r="Q63" s="3">
        <v>243</v>
      </c>
      <c r="S63" s="69" t="str">
        <f t="shared" si="2"/>
        <v>NL</v>
      </c>
      <c r="T63" s="215">
        <v>17823388</v>
      </c>
      <c r="U63" s="215">
        <f t="shared" si="3"/>
        <v>13.633771536590013</v>
      </c>
      <c r="V63" s="215">
        <v>247</v>
      </c>
      <c r="W63" s="217">
        <f t="shared" si="0"/>
        <v>-0.01619433198380571</v>
      </c>
      <c r="X63" s="69">
        <v>249</v>
      </c>
      <c r="Y63" s="215">
        <f t="shared" si="1"/>
        <v>6</v>
      </c>
      <c r="Z63" s="215">
        <v>206</v>
      </c>
      <c r="AA63" s="69"/>
      <c r="AB63" s="212"/>
    </row>
    <row r="64" spans="6:28" ht="13">
      <c r="F64" s="11" t="s">
        <v>32</v>
      </c>
      <c r="G64" s="142">
        <v>243</v>
      </c>
      <c r="K64" s="3" t="s">
        <v>209</v>
      </c>
      <c r="L64" s="3" t="s">
        <v>130</v>
      </c>
      <c r="M64" s="3" t="s">
        <v>210</v>
      </c>
      <c r="N64" s="3" t="s">
        <v>211</v>
      </c>
      <c r="O64" s="108">
        <v>240</v>
      </c>
      <c r="P64" s="11" t="s">
        <v>34</v>
      </c>
      <c r="Q64" s="3">
        <v>240</v>
      </c>
      <c r="S64" s="69" t="str">
        <f t="shared" si="2"/>
        <v>PT</v>
      </c>
      <c r="T64" s="215">
        <v>10392897</v>
      </c>
      <c r="U64" s="215">
        <f t="shared" si="3"/>
        <v>23.092694943479184</v>
      </c>
      <c r="V64" s="215">
        <v>246</v>
      </c>
      <c r="W64" s="217">
        <f t="shared" si="0"/>
        <v>-0.024390243902439046</v>
      </c>
      <c r="X64" s="69">
        <v>247</v>
      </c>
      <c r="Y64" s="215">
        <f t="shared" si="1"/>
        <v>7</v>
      </c>
      <c r="Z64" s="215">
        <v>108</v>
      </c>
      <c r="AA64" s="69"/>
      <c r="AB64" s="212"/>
    </row>
    <row r="65" spans="6:28" ht="13">
      <c r="F65" s="11" t="s">
        <v>34</v>
      </c>
      <c r="G65" s="142">
        <v>240</v>
      </c>
      <c r="K65" s="3" t="s">
        <v>209</v>
      </c>
      <c r="L65" s="3" t="s">
        <v>132</v>
      </c>
      <c r="M65" s="3" t="s">
        <v>210</v>
      </c>
      <c r="N65" s="3" t="s">
        <v>211</v>
      </c>
      <c r="O65" s="108">
        <v>239</v>
      </c>
      <c r="P65" s="11" t="s">
        <v>36</v>
      </c>
      <c r="Q65" s="3">
        <v>239</v>
      </c>
      <c r="S65" s="69" t="str">
        <f t="shared" si="2"/>
        <v>SE</v>
      </c>
      <c r="T65" s="215">
        <v>10561077</v>
      </c>
      <c r="U65" s="215">
        <f t="shared" si="3"/>
        <v>22.630267727429693</v>
      </c>
      <c r="V65" s="215">
        <v>275</v>
      </c>
      <c r="W65" s="217">
        <f t="shared" si="0"/>
        <v>-0.13090909090909086</v>
      </c>
      <c r="X65" s="69">
        <v>158</v>
      </c>
      <c r="Y65" s="215">
        <f t="shared" si="1"/>
        <v>-81</v>
      </c>
      <c r="Z65" s="215">
        <v>99</v>
      </c>
      <c r="AA65" s="69"/>
      <c r="AB65" s="212"/>
    </row>
    <row r="66" spans="6:28" ht="13">
      <c r="F66" s="11" t="s">
        <v>36</v>
      </c>
      <c r="G66" s="142">
        <v>239</v>
      </c>
      <c r="K66" s="3" t="s">
        <v>209</v>
      </c>
      <c r="L66" s="3" t="s">
        <v>129</v>
      </c>
      <c r="M66" s="3" t="s">
        <v>210</v>
      </c>
      <c r="N66" s="3" t="s">
        <v>211</v>
      </c>
      <c r="O66" s="108">
        <v>213</v>
      </c>
      <c r="P66" s="11" t="s">
        <v>7</v>
      </c>
      <c r="Q66" s="3">
        <v>213</v>
      </c>
      <c r="S66" s="69" t="str">
        <f t="shared" si="2"/>
        <v>PL</v>
      </c>
      <c r="T66" s="215">
        <v>38482931</v>
      </c>
      <c r="U66" s="215">
        <f t="shared" si="3"/>
        <v>5.534921443483606</v>
      </c>
      <c r="V66" s="215">
        <v>107</v>
      </c>
      <c r="W66" s="217">
        <f t="shared" si="0"/>
        <v>0.9906542056074767</v>
      </c>
      <c r="X66" s="218">
        <v>213</v>
      </c>
      <c r="Y66" s="215">
        <f t="shared" si="1"/>
        <v>0</v>
      </c>
      <c r="Z66" s="215">
        <v>154</v>
      </c>
      <c r="AA66" s="69"/>
      <c r="AB66" s="212"/>
    </row>
    <row r="67" spans="6:28" ht="13">
      <c r="F67" s="11" t="s">
        <v>7</v>
      </c>
      <c r="G67" s="142">
        <v>213</v>
      </c>
      <c r="K67" s="3" t="s">
        <v>209</v>
      </c>
      <c r="L67" s="3" t="s">
        <v>123</v>
      </c>
      <c r="M67" s="3" t="s">
        <v>210</v>
      </c>
      <c r="N67" s="3" t="s">
        <v>211</v>
      </c>
      <c r="O67" s="108">
        <v>206</v>
      </c>
      <c r="P67" s="17" t="s">
        <v>21</v>
      </c>
      <c r="Q67" s="3">
        <f>SUM(O67:O83)</f>
        <v>1309</v>
      </c>
      <c r="S67" s="69" t="str">
        <f t="shared" si="2"/>
        <v>IT</v>
      </c>
      <c r="T67" s="215">
        <v>59058615</v>
      </c>
      <c r="U67" s="215">
        <f t="shared" si="3"/>
        <v>3.488060124674444</v>
      </c>
      <c r="V67" s="215">
        <v>381</v>
      </c>
      <c r="W67" s="217">
        <f t="shared" si="0"/>
        <v>-0.4593175853018373</v>
      </c>
      <c r="X67" s="69">
        <v>107</v>
      </c>
      <c r="Y67" s="215">
        <f t="shared" si="1"/>
        <v>-99</v>
      </c>
      <c r="Z67" s="215">
        <v>19</v>
      </c>
      <c r="AA67" s="69"/>
      <c r="AB67" s="212"/>
    </row>
    <row r="68" spans="6:28" ht="13">
      <c r="F68" s="17" t="s">
        <v>21</v>
      </c>
      <c r="G68" s="143">
        <v>1309</v>
      </c>
      <c r="K68" s="3" t="s">
        <v>209</v>
      </c>
      <c r="L68" s="3" t="s">
        <v>109</v>
      </c>
      <c r="M68" s="3" t="s">
        <v>210</v>
      </c>
      <c r="N68" s="3" t="s">
        <v>211</v>
      </c>
      <c r="O68" s="108">
        <v>168</v>
      </c>
      <c r="S68" s="69" t="str">
        <f t="shared" si="2"/>
        <v>BE</v>
      </c>
      <c r="T68" s="215">
        <v>11730662</v>
      </c>
      <c r="U68" s="215">
        <f t="shared" si="3"/>
        <v>14.321442387479923</v>
      </c>
      <c r="V68" s="215">
        <v>170</v>
      </c>
      <c r="W68" s="217">
        <f t="shared" si="0"/>
        <v>-0.0117647058823529</v>
      </c>
      <c r="X68" s="69">
        <v>111</v>
      </c>
      <c r="Y68" s="215">
        <f>X68-O68</f>
        <v>-57</v>
      </c>
      <c r="Z68" s="215">
        <v>61</v>
      </c>
      <c r="AA68" s="69"/>
      <c r="AB68" s="212"/>
    </row>
    <row r="69" spans="11:28" ht="15">
      <c r="K69" s="3" t="s">
        <v>209</v>
      </c>
      <c r="L69" s="3" t="s">
        <v>121</v>
      </c>
      <c r="M69" s="3" t="s">
        <v>210</v>
      </c>
      <c r="N69" s="3" t="s">
        <v>211</v>
      </c>
      <c r="O69" s="108">
        <v>148</v>
      </c>
      <c r="S69" s="69" t="str">
        <f t="shared" si="2"/>
        <v>HU</v>
      </c>
      <c r="T69" s="215">
        <v>9689361</v>
      </c>
      <c r="U69" s="215">
        <f t="shared" si="3"/>
        <v>15.274485076982888</v>
      </c>
      <c r="V69" s="215">
        <v>52</v>
      </c>
      <c r="W69" s="217">
        <f t="shared" si="0"/>
        <v>1.8461538461538463</v>
      </c>
      <c r="X69" s="69">
        <v>148</v>
      </c>
      <c r="Y69" s="215">
        <f aca="true" t="shared" si="4" ref="Y69:Y83">X69-O69</f>
        <v>0</v>
      </c>
      <c r="Z69" s="215">
        <v>119</v>
      </c>
      <c r="AA69" s="69"/>
      <c r="AB69" s="212"/>
    </row>
    <row r="70" spans="11:28" ht="15">
      <c r="K70" s="3" t="s">
        <v>209</v>
      </c>
      <c r="L70" s="3" t="s">
        <v>114</v>
      </c>
      <c r="M70" s="3" t="s">
        <v>210</v>
      </c>
      <c r="N70" s="3" t="s">
        <v>211</v>
      </c>
      <c r="O70" s="108">
        <v>126</v>
      </c>
      <c r="S70" s="69" t="str">
        <f t="shared" si="2"/>
        <v>DK</v>
      </c>
      <c r="T70" s="215">
        <v>5927971</v>
      </c>
      <c r="U70" s="215">
        <f t="shared" si="3"/>
        <v>21.255164709813865</v>
      </c>
      <c r="V70" s="215">
        <v>145</v>
      </c>
      <c r="W70" s="217">
        <f t="shared" si="0"/>
        <v>-0.13103448275862073</v>
      </c>
      <c r="X70" s="69">
        <v>143</v>
      </c>
      <c r="Y70" s="215">
        <f t="shared" si="4"/>
        <v>17</v>
      </c>
      <c r="Z70" s="215">
        <v>70</v>
      </c>
      <c r="AA70" s="69"/>
      <c r="AB70" s="212"/>
    </row>
    <row r="71" spans="11:28" ht="15">
      <c r="K71" s="3" t="s">
        <v>209</v>
      </c>
      <c r="L71" s="3" t="s">
        <v>170</v>
      </c>
      <c r="M71" s="3" t="s">
        <v>210</v>
      </c>
      <c r="N71" s="3" t="s">
        <v>211</v>
      </c>
      <c r="O71" s="108">
        <v>120</v>
      </c>
      <c r="S71" s="69" t="str">
        <f t="shared" si="2"/>
        <v>EL</v>
      </c>
      <c r="T71" s="215">
        <v>10416542</v>
      </c>
      <c r="U71" s="215">
        <f t="shared" si="3"/>
        <v>11.520137873010064</v>
      </c>
      <c r="V71" s="215">
        <v>90</v>
      </c>
      <c r="W71" s="217">
        <f t="shared" si="0"/>
        <v>0.33333333333333326</v>
      </c>
      <c r="X71" s="69">
        <v>111</v>
      </c>
      <c r="Y71" s="215">
        <f t="shared" si="4"/>
        <v>-9</v>
      </c>
      <c r="Z71" s="215">
        <v>87</v>
      </c>
      <c r="AA71" s="69"/>
      <c r="AB71" s="212"/>
    </row>
    <row r="72" spans="11:28" ht="15">
      <c r="K72" s="3" t="s">
        <v>209</v>
      </c>
      <c r="L72" s="3" t="s">
        <v>125</v>
      </c>
      <c r="M72" s="3" t="s">
        <v>210</v>
      </c>
      <c r="N72" s="3" t="s">
        <v>211</v>
      </c>
      <c r="O72" s="108">
        <v>109</v>
      </c>
      <c r="S72" s="69" t="str">
        <f t="shared" si="2"/>
        <v>LU</v>
      </c>
      <c r="T72" s="215">
        <v>662537</v>
      </c>
      <c r="U72" s="215">
        <f t="shared" si="3"/>
        <v>164.51911364950183</v>
      </c>
      <c r="V72" s="215">
        <v>130</v>
      </c>
      <c r="W72" s="217">
        <f t="shared" si="0"/>
        <v>-0.16153846153846152</v>
      </c>
      <c r="X72" s="69">
        <v>101</v>
      </c>
      <c r="Y72" s="215">
        <f t="shared" si="4"/>
        <v>-8</v>
      </c>
      <c r="Z72" s="215">
        <v>19</v>
      </c>
      <c r="AA72" s="69"/>
      <c r="AB72" s="212"/>
    </row>
    <row r="73" spans="11:28" ht="15">
      <c r="K73" s="3" t="s">
        <v>209</v>
      </c>
      <c r="L73" s="3" t="s">
        <v>117</v>
      </c>
      <c r="M73" s="3" t="s">
        <v>210</v>
      </c>
      <c r="N73" s="3" t="s">
        <v>211</v>
      </c>
      <c r="O73" s="108">
        <v>90</v>
      </c>
      <c r="S73" s="69" t="str">
        <f t="shared" si="2"/>
        <v>FI</v>
      </c>
      <c r="T73" s="215">
        <v>5608235</v>
      </c>
      <c r="U73" s="215">
        <f t="shared" si="3"/>
        <v>16.047829664769754</v>
      </c>
      <c r="V73" s="215">
        <v>111</v>
      </c>
      <c r="W73" s="217">
        <f t="shared" si="0"/>
        <v>-0.18918918918918914</v>
      </c>
      <c r="X73" s="69">
        <v>94</v>
      </c>
      <c r="Y73" s="215">
        <f t="shared" si="4"/>
        <v>4</v>
      </c>
      <c r="Z73" s="215">
        <v>77</v>
      </c>
      <c r="AA73" s="69"/>
      <c r="AB73" s="212"/>
    </row>
    <row r="74" spans="11:28" ht="15">
      <c r="K74" s="3" t="s">
        <v>209</v>
      </c>
      <c r="L74" s="3" t="s">
        <v>112</v>
      </c>
      <c r="M74" s="3" t="s">
        <v>210</v>
      </c>
      <c r="N74" s="3" t="s">
        <v>211</v>
      </c>
      <c r="O74" s="108">
        <v>88</v>
      </c>
      <c r="S74" s="69" t="str">
        <f t="shared" si="2"/>
        <v>CZ</v>
      </c>
      <c r="T74" s="215">
        <v>10963888</v>
      </c>
      <c r="U74" s="215">
        <f t="shared" si="3"/>
        <v>8.026349776648576</v>
      </c>
      <c r="V74" s="215">
        <v>73</v>
      </c>
      <c r="W74" s="217">
        <f t="shared" si="0"/>
        <v>0.20547945205479445</v>
      </c>
      <c r="X74" s="69">
        <v>101</v>
      </c>
      <c r="Y74" s="215">
        <f t="shared" si="4"/>
        <v>13</v>
      </c>
      <c r="Z74" s="215">
        <v>35</v>
      </c>
      <c r="AA74" s="69"/>
      <c r="AB74" s="212"/>
    </row>
    <row r="75" spans="11:28" ht="15">
      <c r="K75" s="3" t="s">
        <v>209</v>
      </c>
      <c r="L75" s="3" t="s">
        <v>110</v>
      </c>
      <c r="M75" s="3" t="s">
        <v>210</v>
      </c>
      <c r="N75" s="3" t="s">
        <v>211</v>
      </c>
      <c r="O75" s="108">
        <v>50</v>
      </c>
      <c r="S75" s="69" t="str">
        <f t="shared" si="2"/>
        <v>BG</v>
      </c>
      <c r="T75" s="215">
        <v>6941042</v>
      </c>
      <c r="U75" s="215">
        <f t="shared" si="3"/>
        <v>7.203529383628568</v>
      </c>
      <c r="V75" s="215">
        <v>56</v>
      </c>
      <c r="W75" s="217">
        <f t="shared" si="0"/>
        <v>-0.1071428571428571</v>
      </c>
      <c r="X75" s="69">
        <v>66</v>
      </c>
      <c r="Y75" s="215">
        <f t="shared" si="4"/>
        <v>16</v>
      </c>
      <c r="Z75" s="215">
        <v>40</v>
      </c>
      <c r="AA75" s="69"/>
      <c r="AB75" s="212"/>
    </row>
    <row r="76" spans="11:28" ht="15">
      <c r="K76" s="3" t="s">
        <v>209</v>
      </c>
      <c r="L76" s="3" t="s">
        <v>126</v>
      </c>
      <c r="M76" s="3" t="s">
        <v>210</v>
      </c>
      <c r="N76" s="3" t="s">
        <v>211</v>
      </c>
      <c r="O76" s="108">
        <v>40</v>
      </c>
      <c r="S76" s="69" t="str">
        <f t="shared" si="2"/>
        <v>LV</v>
      </c>
      <c r="T76" s="215">
        <v>1894146</v>
      </c>
      <c r="U76" s="215">
        <f t="shared" si="3"/>
        <v>21.117696312744634</v>
      </c>
      <c r="V76" s="215">
        <v>48</v>
      </c>
      <c r="W76" s="217">
        <f t="shared" si="0"/>
        <v>-0.16666666666666663</v>
      </c>
      <c r="X76" s="69">
        <v>49</v>
      </c>
      <c r="Y76" s="215">
        <f t="shared" si="4"/>
        <v>9</v>
      </c>
      <c r="Z76" s="215">
        <v>36</v>
      </c>
      <c r="AA76" s="69"/>
      <c r="AB76" s="212"/>
    </row>
    <row r="77" spans="11:28" ht="15">
      <c r="K77" s="3" t="s">
        <v>209</v>
      </c>
      <c r="L77" s="3" t="s">
        <v>131</v>
      </c>
      <c r="M77" s="3" t="s">
        <v>210</v>
      </c>
      <c r="N77" s="3" t="s">
        <v>211</v>
      </c>
      <c r="O77" s="108">
        <v>38</v>
      </c>
      <c r="S77" s="69" t="str">
        <f t="shared" si="2"/>
        <v>RO</v>
      </c>
      <c r="T77" s="215">
        <v>19030292</v>
      </c>
      <c r="U77" s="215">
        <f t="shared" si="3"/>
        <v>1.9968164440146268</v>
      </c>
      <c r="V77" s="215">
        <v>57</v>
      </c>
      <c r="W77" s="217">
        <f t="shared" si="0"/>
        <v>-0.33333333333333337</v>
      </c>
      <c r="X77" s="69">
        <v>43</v>
      </c>
      <c r="Y77" s="215">
        <f t="shared" si="4"/>
        <v>5</v>
      </c>
      <c r="Z77" s="215">
        <v>31</v>
      </c>
      <c r="AA77" s="69"/>
      <c r="AB77" s="212"/>
    </row>
    <row r="78" spans="11:28" ht="15">
      <c r="K78" s="3" t="s">
        <v>209</v>
      </c>
      <c r="L78" s="3" t="s">
        <v>115</v>
      </c>
      <c r="M78" s="3" t="s">
        <v>210</v>
      </c>
      <c r="N78" s="3" t="s">
        <v>211</v>
      </c>
      <c r="O78" s="108">
        <v>32</v>
      </c>
      <c r="S78" s="69" t="str">
        <f t="shared" si="2"/>
        <v>EE</v>
      </c>
      <c r="T78" s="215">
        <v>1371817</v>
      </c>
      <c r="U78" s="215">
        <f t="shared" si="3"/>
        <v>23.326726524018873</v>
      </c>
      <c r="V78" s="215">
        <v>27</v>
      </c>
      <c r="W78" s="217">
        <f t="shared" si="0"/>
        <v>0.18518518518518512</v>
      </c>
      <c r="X78" s="69">
        <v>49</v>
      </c>
      <c r="Y78" s="215">
        <f t="shared" si="4"/>
        <v>17</v>
      </c>
      <c r="Z78" s="215">
        <v>33</v>
      </c>
      <c r="AA78" s="69"/>
      <c r="AB78" s="212"/>
    </row>
    <row r="79" spans="11:28" ht="15">
      <c r="K79" s="3" t="s">
        <v>209</v>
      </c>
      <c r="L79" s="3" t="s">
        <v>120</v>
      </c>
      <c r="M79" s="3" t="s">
        <v>210</v>
      </c>
      <c r="N79" s="3" t="s">
        <v>211</v>
      </c>
      <c r="O79" s="108">
        <v>27</v>
      </c>
      <c r="S79" s="69" t="str">
        <f t="shared" si="2"/>
        <v>HR</v>
      </c>
      <c r="T79" s="215">
        <v>3854381</v>
      </c>
      <c r="U79" s="215">
        <f t="shared" si="3"/>
        <v>7.0050158507942</v>
      </c>
      <c r="V79" s="215">
        <v>17</v>
      </c>
      <c r="W79" s="217">
        <f t="shared" si="0"/>
        <v>0.588235294117647</v>
      </c>
      <c r="X79" s="219">
        <v>30</v>
      </c>
      <c r="Y79" s="215">
        <f t="shared" si="4"/>
        <v>3</v>
      </c>
      <c r="Z79" s="215">
        <v>24</v>
      </c>
      <c r="AA79" s="69"/>
      <c r="AB79" s="212"/>
    </row>
    <row r="80" spans="11:28" ht="15">
      <c r="K80" s="3" t="s">
        <v>209</v>
      </c>
      <c r="L80" s="3" t="s">
        <v>133</v>
      </c>
      <c r="M80" s="3" t="s">
        <v>210</v>
      </c>
      <c r="N80" s="3" t="s">
        <v>211</v>
      </c>
      <c r="O80" s="108">
        <v>18</v>
      </c>
      <c r="S80" s="69" t="str">
        <f t="shared" si="2"/>
        <v>SI</v>
      </c>
      <c r="T80" s="215">
        <v>2116709</v>
      </c>
      <c r="U80" s="215">
        <f t="shared" si="3"/>
        <v>8.503766932535365</v>
      </c>
      <c r="V80" s="215">
        <v>37</v>
      </c>
      <c r="W80" s="217">
        <f t="shared" si="0"/>
        <v>-0.5135135135135135</v>
      </c>
      <c r="X80" s="69">
        <v>16</v>
      </c>
      <c r="Y80" s="215">
        <f t="shared" si="4"/>
        <v>-2</v>
      </c>
      <c r="Z80" s="215">
        <v>1</v>
      </c>
      <c r="AA80" s="69"/>
      <c r="AB80" s="212"/>
    </row>
    <row r="81" spans="11:28" ht="15">
      <c r="K81" s="3" t="s">
        <v>209</v>
      </c>
      <c r="L81" s="3" t="s">
        <v>124</v>
      </c>
      <c r="M81" s="3" t="s">
        <v>210</v>
      </c>
      <c r="N81" s="3" t="s">
        <v>211</v>
      </c>
      <c r="O81" s="108">
        <v>17</v>
      </c>
      <c r="S81" s="69" t="str">
        <f t="shared" si="2"/>
        <v>LT</v>
      </c>
      <c r="T81" s="215">
        <v>2869396</v>
      </c>
      <c r="U81" s="215">
        <f t="shared" si="3"/>
        <v>5.924591795625282</v>
      </c>
      <c r="V81" s="215">
        <v>25</v>
      </c>
      <c r="W81" s="217">
        <f t="shared" si="0"/>
        <v>-0.31999999999999995</v>
      </c>
      <c r="X81" s="69">
        <v>33</v>
      </c>
      <c r="Y81" s="215">
        <f t="shared" si="4"/>
        <v>16</v>
      </c>
      <c r="Z81" s="215">
        <v>27</v>
      </c>
      <c r="AA81" s="69"/>
      <c r="AB81" s="212"/>
    </row>
    <row r="82" spans="11:28" ht="15">
      <c r="K82" s="3" t="s">
        <v>209</v>
      </c>
      <c r="L82" s="3" t="s">
        <v>111</v>
      </c>
      <c r="M82" s="3" t="s">
        <v>210</v>
      </c>
      <c r="N82" s="3" t="s">
        <v>211</v>
      </c>
      <c r="O82" s="108">
        <v>16</v>
      </c>
      <c r="S82" s="69" t="str">
        <f t="shared" si="2"/>
        <v>CY</v>
      </c>
      <c r="T82" s="215">
        <v>926006</v>
      </c>
      <c r="U82" s="215">
        <f t="shared" si="3"/>
        <v>17.278505754822323</v>
      </c>
      <c r="V82" s="215">
        <v>21</v>
      </c>
      <c r="W82" s="217">
        <f t="shared" si="0"/>
        <v>-0.23809523809523814</v>
      </c>
      <c r="X82" s="69">
        <v>7</v>
      </c>
      <c r="Y82" s="215">
        <f t="shared" si="4"/>
        <v>-9</v>
      </c>
      <c r="Z82" s="215">
        <v>7</v>
      </c>
      <c r="AA82" s="69"/>
      <c r="AB82" s="212"/>
    </row>
    <row r="83" spans="11:28" ht="15">
      <c r="K83" s="3" t="s">
        <v>209</v>
      </c>
      <c r="L83" s="3" t="s">
        <v>134</v>
      </c>
      <c r="M83" s="3" t="s">
        <v>210</v>
      </c>
      <c r="N83" s="3" t="s">
        <v>211</v>
      </c>
      <c r="O83" s="108">
        <v>16</v>
      </c>
      <c r="S83" s="69" t="str">
        <f t="shared" si="2"/>
        <v>SK</v>
      </c>
      <c r="T83" s="215">
        <v>5523904</v>
      </c>
      <c r="U83" s="215">
        <f t="shared" si="3"/>
        <v>2.896502183962647</v>
      </c>
      <c r="V83" s="215">
        <v>23</v>
      </c>
      <c r="W83" s="217">
        <f t="shared" si="0"/>
        <v>-0.30434782608695654</v>
      </c>
      <c r="X83" s="69">
        <v>23</v>
      </c>
      <c r="Y83" s="215">
        <f t="shared" si="4"/>
        <v>7</v>
      </c>
      <c r="Z83" s="215">
        <v>9</v>
      </c>
      <c r="AA83" s="69"/>
      <c r="AB83" s="212"/>
    </row>
    <row r="84" spans="13:28" ht="15">
      <c r="M84" s="3" t="s">
        <v>62</v>
      </c>
      <c r="Y84" s="108"/>
      <c r="Z84" s="108"/>
      <c r="AB84" s="108"/>
    </row>
    <row r="85" spans="25:28" ht="15">
      <c r="Y85" s="108"/>
      <c r="Z85" s="108"/>
      <c r="AB85" s="108"/>
    </row>
    <row r="86" spans="25:28" ht="15">
      <c r="Y86" s="108"/>
      <c r="Z86" s="108"/>
      <c r="AB86" s="108"/>
    </row>
    <row r="87" spans="25:28" ht="15">
      <c r="Y87" s="108"/>
      <c r="Z87" s="108"/>
      <c r="AB87" s="10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2:M86"/>
  <sheetViews>
    <sheetView showGridLines="0" workbookViewId="0" topLeftCell="A9">
      <selection activeCell="A44" sqref="A44"/>
    </sheetView>
  </sheetViews>
  <sheetFormatPr defaultColWidth="9.140625" defaultRowHeight="15"/>
  <cols>
    <col min="1" max="1" width="9.140625" style="3" customWidth="1"/>
    <col min="2" max="2" width="12.00390625" style="3" customWidth="1"/>
    <col min="3" max="3" width="11.28125" style="3" bestFit="1" customWidth="1"/>
    <col min="4" max="4" width="9.140625" style="3" customWidth="1"/>
    <col min="5" max="5" width="9.421875" style="3" bestFit="1" customWidth="1"/>
    <col min="6" max="6" width="15.57421875" style="3" customWidth="1"/>
    <col min="7" max="8" width="9.140625" style="3" customWidth="1"/>
    <col min="9" max="9" width="11.00390625" style="3" bestFit="1" customWidth="1"/>
    <col min="10" max="17" width="9.140625" style="3" customWidth="1"/>
    <col min="18" max="18" width="12.00390625" style="3" bestFit="1" customWidth="1"/>
    <col min="19" max="19" width="11.00390625" style="3" bestFit="1" customWidth="1"/>
    <col min="20" max="16384" width="9.140625" style="3" customWidth="1"/>
  </cols>
  <sheetData>
    <row r="1" ht="12.75"/>
    <row r="2" spans="2:8" ht="12.75">
      <c r="B2" s="4" t="s">
        <v>212</v>
      </c>
      <c r="H2" s="4"/>
    </row>
    <row r="3" spans="2:8" ht="12.75">
      <c r="B3" s="1" t="s">
        <v>11</v>
      </c>
      <c r="H3" s="1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5" customHeight="1">
      <c r="B35" s="1"/>
    </row>
    <row r="36" ht="12.75">
      <c r="B36" s="3" t="s">
        <v>152</v>
      </c>
    </row>
    <row r="37" ht="12.75"/>
    <row r="44" ht="13">
      <c r="A44" s="32" t="s">
        <v>264</v>
      </c>
    </row>
    <row r="58" spans="3:7" ht="13">
      <c r="C58" s="24"/>
      <c r="D58" s="221" t="s">
        <v>43</v>
      </c>
      <c r="E58" s="221" t="s">
        <v>44</v>
      </c>
      <c r="F58" s="221" t="s">
        <v>45</v>
      </c>
      <c r="G58" s="221" t="s">
        <v>14</v>
      </c>
    </row>
    <row r="59" spans="3:13" ht="13">
      <c r="C59" s="144" t="s">
        <v>19</v>
      </c>
      <c r="D59" s="145">
        <v>3304</v>
      </c>
      <c r="E59" s="145">
        <v>377</v>
      </c>
      <c r="F59" s="145">
        <v>8</v>
      </c>
      <c r="G59" s="145">
        <v>1957</v>
      </c>
      <c r="I59" s="108"/>
      <c r="J59" s="22"/>
      <c r="K59" s="22"/>
      <c r="L59" s="22"/>
      <c r="M59" s="22"/>
    </row>
    <row r="60" spans="3:7" ht="13">
      <c r="C60" s="8" t="s">
        <v>108</v>
      </c>
      <c r="D60" s="146">
        <v>186</v>
      </c>
      <c r="E60" s="146">
        <v>22</v>
      </c>
      <c r="F60" s="146">
        <v>0</v>
      </c>
      <c r="G60" s="146">
        <v>207</v>
      </c>
    </row>
    <row r="61" spans="3:7" ht="13">
      <c r="C61" s="11" t="s">
        <v>109</v>
      </c>
      <c r="D61" s="147">
        <v>61</v>
      </c>
      <c r="E61" s="147">
        <v>40</v>
      </c>
      <c r="F61" s="147">
        <v>0</v>
      </c>
      <c r="G61" s="147">
        <v>67</v>
      </c>
    </row>
    <row r="62" spans="3:7" ht="13">
      <c r="C62" s="11" t="s">
        <v>110</v>
      </c>
      <c r="D62" s="147">
        <v>36</v>
      </c>
      <c r="E62" s="147">
        <v>4</v>
      </c>
      <c r="F62" s="147">
        <v>0</v>
      </c>
      <c r="G62" s="147">
        <v>10</v>
      </c>
    </row>
    <row r="63" spans="3:7" ht="13">
      <c r="C63" s="11" t="s">
        <v>111</v>
      </c>
      <c r="D63" s="147">
        <v>7</v>
      </c>
      <c r="E63" s="147">
        <v>0</v>
      </c>
      <c r="F63" s="147">
        <v>0</v>
      </c>
      <c r="G63" s="147">
        <v>9</v>
      </c>
    </row>
    <row r="64" spans="3:7" ht="13">
      <c r="C64" s="11" t="s">
        <v>112</v>
      </c>
      <c r="D64" s="147">
        <v>19</v>
      </c>
      <c r="E64" s="147">
        <v>0</v>
      </c>
      <c r="F64" s="147">
        <v>0</v>
      </c>
      <c r="G64" s="147">
        <v>69</v>
      </c>
    </row>
    <row r="65" spans="3:7" ht="13">
      <c r="C65" s="11" t="s">
        <v>113</v>
      </c>
      <c r="D65" s="147">
        <v>452</v>
      </c>
      <c r="E65" s="147">
        <v>130</v>
      </c>
      <c r="F65" s="147">
        <v>0</v>
      </c>
      <c r="G65" s="147">
        <v>476</v>
      </c>
    </row>
    <row r="66" spans="3:7" ht="13">
      <c r="C66" s="11" t="s">
        <v>114</v>
      </c>
      <c r="D66" s="147">
        <v>42</v>
      </c>
      <c r="E66" s="147">
        <v>12</v>
      </c>
      <c r="F66" s="147">
        <v>4</v>
      </c>
      <c r="G66" s="147">
        <v>68</v>
      </c>
    </row>
    <row r="67" spans="3:7" ht="13">
      <c r="C67" s="11" t="s">
        <v>115</v>
      </c>
      <c r="D67" s="147">
        <v>14</v>
      </c>
      <c r="E67" s="147">
        <v>8</v>
      </c>
      <c r="F67" s="147">
        <v>0</v>
      </c>
      <c r="G67" s="147">
        <v>10</v>
      </c>
    </row>
    <row r="68" spans="3:7" ht="13">
      <c r="C68" s="11" t="s">
        <v>116</v>
      </c>
      <c r="D68" s="147">
        <v>395</v>
      </c>
      <c r="E68" s="147">
        <v>30</v>
      </c>
      <c r="F68" s="147">
        <v>0</v>
      </c>
      <c r="G68" s="147">
        <v>123</v>
      </c>
    </row>
    <row r="69" spans="3:7" ht="13">
      <c r="C69" s="11" t="s">
        <v>117</v>
      </c>
      <c r="D69" s="147">
        <v>76</v>
      </c>
      <c r="E69" s="147">
        <v>2</v>
      </c>
      <c r="F69" s="147">
        <v>0</v>
      </c>
      <c r="G69" s="147">
        <v>12</v>
      </c>
    </row>
    <row r="70" spans="3:7" ht="13">
      <c r="C70" s="11" t="s">
        <v>118</v>
      </c>
      <c r="D70" s="147">
        <v>350</v>
      </c>
      <c r="E70" s="147">
        <v>18</v>
      </c>
      <c r="F70" s="147">
        <v>2</v>
      </c>
      <c r="G70" s="147">
        <v>133</v>
      </c>
    </row>
    <row r="71" spans="3:7" ht="13">
      <c r="C71" s="11" t="s">
        <v>119</v>
      </c>
      <c r="D71" s="147">
        <v>92</v>
      </c>
      <c r="E71" s="147">
        <v>7</v>
      </c>
      <c r="F71" s="147">
        <v>0</v>
      </c>
      <c r="G71" s="147">
        <v>21</v>
      </c>
    </row>
    <row r="72" spans="3:7" ht="13">
      <c r="C72" s="11" t="s">
        <v>120</v>
      </c>
      <c r="D72" s="147">
        <v>20</v>
      </c>
      <c r="E72" s="147">
        <v>0</v>
      </c>
      <c r="F72" s="147">
        <v>0</v>
      </c>
      <c r="G72" s="147">
        <v>7</v>
      </c>
    </row>
    <row r="73" spans="3:7" ht="13">
      <c r="C73" s="11" t="s">
        <v>121</v>
      </c>
      <c r="D73" s="147">
        <v>118</v>
      </c>
      <c r="E73" s="147">
        <v>7</v>
      </c>
      <c r="F73" s="147">
        <v>0</v>
      </c>
      <c r="G73" s="147">
        <v>23</v>
      </c>
    </row>
    <row r="74" spans="3:7" ht="13">
      <c r="C74" s="11" t="s">
        <v>122</v>
      </c>
      <c r="D74" s="147">
        <v>343</v>
      </c>
      <c r="E74" s="147">
        <v>22</v>
      </c>
      <c r="F74" s="147">
        <v>0</v>
      </c>
      <c r="G74" s="147">
        <v>21</v>
      </c>
    </row>
    <row r="75" spans="3:7" ht="13">
      <c r="C75" s="11" t="s">
        <v>123</v>
      </c>
      <c r="D75" s="147">
        <v>104</v>
      </c>
      <c r="E75" s="147">
        <v>9</v>
      </c>
      <c r="F75" s="147">
        <v>0</v>
      </c>
      <c r="G75" s="147">
        <v>93</v>
      </c>
    </row>
    <row r="76" spans="3:7" ht="13">
      <c r="C76" s="11" t="s">
        <v>124</v>
      </c>
      <c r="D76" s="147">
        <v>12</v>
      </c>
      <c r="E76" s="147">
        <v>0</v>
      </c>
      <c r="F76" s="147">
        <v>0</v>
      </c>
      <c r="G76" s="147">
        <v>5</v>
      </c>
    </row>
    <row r="77" spans="3:7" ht="13">
      <c r="C77" s="11" t="s">
        <v>125</v>
      </c>
      <c r="D77" s="147">
        <v>20</v>
      </c>
      <c r="E77" s="147">
        <v>28</v>
      </c>
      <c r="F77" s="147">
        <v>0</v>
      </c>
      <c r="G77" s="147">
        <v>61</v>
      </c>
    </row>
    <row r="78" spans="3:7" ht="13">
      <c r="C78" s="11" t="s">
        <v>126</v>
      </c>
      <c r="D78" s="147">
        <v>28</v>
      </c>
      <c r="E78" s="147">
        <v>2</v>
      </c>
      <c r="F78" s="147">
        <v>1</v>
      </c>
      <c r="G78" s="147">
        <v>9</v>
      </c>
    </row>
    <row r="79" spans="3:7" ht="13">
      <c r="C79" s="11" t="s">
        <v>127</v>
      </c>
      <c r="D79" s="147">
        <v>258</v>
      </c>
      <c r="E79" s="147">
        <v>4</v>
      </c>
      <c r="F79" s="147">
        <v>0</v>
      </c>
      <c r="G79" s="147">
        <v>230</v>
      </c>
    </row>
    <row r="80" spans="3:7" ht="13">
      <c r="C80" s="11" t="s">
        <v>128</v>
      </c>
      <c r="D80" s="147">
        <v>209</v>
      </c>
      <c r="E80" s="147">
        <v>2</v>
      </c>
      <c r="F80" s="147">
        <v>0</v>
      </c>
      <c r="G80" s="147">
        <v>32</v>
      </c>
    </row>
    <row r="81" spans="3:7" ht="13">
      <c r="C81" s="11" t="s">
        <v>129</v>
      </c>
      <c r="D81" s="147">
        <v>153</v>
      </c>
      <c r="E81" s="147">
        <v>15</v>
      </c>
      <c r="F81" s="147">
        <v>1</v>
      </c>
      <c r="G81" s="147">
        <v>44</v>
      </c>
    </row>
    <row r="82" spans="3:7" ht="13">
      <c r="C82" s="11" t="s">
        <v>130</v>
      </c>
      <c r="D82" s="147">
        <v>108</v>
      </c>
      <c r="E82" s="147">
        <v>1</v>
      </c>
      <c r="F82" s="147">
        <v>0</v>
      </c>
      <c r="G82" s="147">
        <v>131</v>
      </c>
    </row>
    <row r="83" spans="3:7" ht="13">
      <c r="C83" s="11" t="s">
        <v>131</v>
      </c>
      <c r="D83" s="147">
        <v>26</v>
      </c>
      <c r="E83" s="147">
        <v>0</v>
      </c>
      <c r="F83" s="147">
        <v>0</v>
      </c>
      <c r="G83" s="147">
        <v>12</v>
      </c>
    </row>
    <row r="84" spans="3:7" ht="13">
      <c r="C84" s="11" t="s">
        <v>132</v>
      </c>
      <c r="D84" s="147">
        <v>168</v>
      </c>
      <c r="E84" s="147">
        <v>12</v>
      </c>
      <c r="F84" s="147">
        <v>0</v>
      </c>
      <c r="G84" s="147">
        <v>59</v>
      </c>
    </row>
    <row r="85" spans="3:7" ht="13">
      <c r="C85" s="11" t="s">
        <v>133</v>
      </c>
      <c r="D85" s="147">
        <v>5</v>
      </c>
      <c r="E85" s="147">
        <v>1</v>
      </c>
      <c r="F85" s="147">
        <v>0</v>
      </c>
      <c r="G85" s="147">
        <v>12</v>
      </c>
    </row>
    <row r="86" spans="3:7" ht="13">
      <c r="C86" s="11" t="s">
        <v>134</v>
      </c>
      <c r="D86" s="147">
        <v>2</v>
      </c>
      <c r="E86" s="147">
        <v>1</v>
      </c>
      <c r="F86" s="147">
        <v>0</v>
      </c>
      <c r="G86" s="147">
        <v>13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L52"/>
  <sheetViews>
    <sheetView showGridLines="0" workbookViewId="0" topLeftCell="A1">
      <selection activeCell="B2" sqref="B2:H52"/>
    </sheetView>
  </sheetViews>
  <sheetFormatPr defaultColWidth="9.28125" defaultRowHeight="15"/>
  <cols>
    <col min="1" max="1" width="9.28125" style="3" customWidth="1"/>
    <col min="2" max="2" width="22.28125" style="3" customWidth="1"/>
    <col min="3" max="8" width="10.7109375" style="3" customWidth="1"/>
    <col min="9" max="9" width="4.7109375" style="3" customWidth="1"/>
    <col min="10" max="10" width="14.7109375" style="3" bestFit="1" customWidth="1"/>
    <col min="11" max="16384" width="9.28125" style="3" customWidth="1"/>
  </cols>
  <sheetData>
    <row r="2" ht="13">
      <c r="B2" s="98" t="s">
        <v>226</v>
      </c>
    </row>
    <row r="3" ht="15">
      <c r="B3" s="1" t="s">
        <v>11</v>
      </c>
    </row>
    <row r="5" spans="1:8" ht="13">
      <c r="A5" s="23"/>
      <c r="B5" s="24"/>
      <c r="C5" s="220"/>
      <c r="D5" s="222" t="s">
        <v>0</v>
      </c>
      <c r="E5" s="222"/>
      <c r="F5" s="220"/>
      <c r="G5" s="222" t="s">
        <v>12</v>
      </c>
      <c r="H5" s="222"/>
    </row>
    <row r="6" spans="1:8" ht="13">
      <c r="A6" s="23"/>
      <c r="B6" s="25"/>
      <c r="C6" s="6">
        <v>2005</v>
      </c>
      <c r="D6" s="7">
        <v>2012</v>
      </c>
      <c r="E6" s="7">
        <v>2022</v>
      </c>
      <c r="F6" s="6">
        <v>2005</v>
      </c>
      <c r="G6" s="7">
        <v>2012</v>
      </c>
      <c r="H6" s="7">
        <v>2022</v>
      </c>
    </row>
    <row r="7" spans="1:8" ht="13">
      <c r="A7" s="26"/>
      <c r="B7" s="8" t="s">
        <v>213</v>
      </c>
      <c r="C7" s="9">
        <v>12.648221343873518</v>
      </c>
      <c r="D7" s="10" t="s">
        <v>13</v>
      </c>
      <c r="E7" s="10">
        <f>ROUND(188*100/2437,1)</f>
        <v>7.7</v>
      </c>
      <c r="F7" s="9">
        <v>87.35177865612648</v>
      </c>
      <c r="G7" s="10" t="s">
        <v>13</v>
      </c>
      <c r="H7" s="10">
        <f>ROUND(2249*100/2437,1)</f>
        <v>92.3</v>
      </c>
    </row>
    <row r="8" spans="1:8" ht="13">
      <c r="A8" s="26"/>
      <c r="B8" s="11" t="s">
        <v>1</v>
      </c>
      <c r="C8" s="12" t="s">
        <v>13</v>
      </c>
      <c r="D8" s="13">
        <f>ROUND(27*100/101,1)</f>
        <v>26.7</v>
      </c>
      <c r="E8" s="13" t="s">
        <v>13</v>
      </c>
      <c r="F8" s="12" t="s">
        <v>13</v>
      </c>
      <c r="G8" s="13">
        <f>ROUND(74*100/101,1)</f>
        <v>73.3</v>
      </c>
      <c r="H8" s="13" t="s">
        <v>13</v>
      </c>
    </row>
    <row r="9" spans="1:8" ht="13">
      <c r="A9" s="26"/>
      <c r="B9" s="11" t="s">
        <v>56</v>
      </c>
      <c r="C9" s="12">
        <v>78.98406374501991</v>
      </c>
      <c r="D9" s="13">
        <f>ROUND(720*100/967,1)</f>
        <v>74.5</v>
      </c>
      <c r="E9" s="13">
        <v>70.37037037037037</v>
      </c>
      <c r="F9" s="12">
        <v>21.01593625498008</v>
      </c>
      <c r="G9" s="13">
        <f>ROUND(247*100/967,1)</f>
        <v>25.5</v>
      </c>
      <c r="H9" s="13">
        <v>29.629629629629626</v>
      </c>
    </row>
    <row r="10" spans="1:8" ht="13">
      <c r="A10" s="26"/>
      <c r="B10" s="11" t="s">
        <v>24</v>
      </c>
      <c r="C10" s="12">
        <v>54.24028268551237</v>
      </c>
      <c r="D10" s="13">
        <f>ROUND(1056*100/2031,1)</f>
        <v>52</v>
      </c>
      <c r="E10" s="13">
        <v>40.28776978417266</v>
      </c>
      <c r="F10" s="12">
        <v>45.75971731448763</v>
      </c>
      <c r="G10" s="13">
        <f>ROUND(975*100/2031,1)</f>
        <v>48</v>
      </c>
      <c r="H10" s="13">
        <v>59.71223021582733</v>
      </c>
    </row>
    <row r="11" spans="1:8" ht="13">
      <c r="A11" s="26"/>
      <c r="B11" s="11" t="s">
        <v>2</v>
      </c>
      <c r="C11" s="12" t="s">
        <v>13</v>
      </c>
      <c r="D11" s="13" t="s">
        <v>13</v>
      </c>
      <c r="E11" s="13" t="s">
        <v>13</v>
      </c>
      <c r="F11" s="12" t="s">
        <v>13</v>
      </c>
      <c r="G11" s="13" t="s">
        <v>13</v>
      </c>
      <c r="H11" s="13" t="s">
        <v>13</v>
      </c>
    </row>
    <row r="12" spans="1:8" ht="13">
      <c r="A12" s="26"/>
      <c r="B12" s="11" t="s">
        <v>3</v>
      </c>
      <c r="C12" s="12">
        <v>40.50632911392405</v>
      </c>
      <c r="D12" s="13">
        <f>ROUND(32*100/55,1)</f>
        <v>58.2</v>
      </c>
      <c r="E12" s="13">
        <v>52.63157894736842</v>
      </c>
      <c r="F12" s="12">
        <v>59.49367088607595</v>
      </c>
      <c r="G12" s="13">
        <f>ROUND(23*100/55,1)</f>
        <v>41.8</v>
      </c>
      <c r="H12" s="13">
        <v>47.368421052631575</v>
      </c>
    </row>
    <row r="13" spans="1:8" ht="13">
      <c r="A13" s="26"/>
      <c r="B13" s="11" t="s">
        <v>25</v>
      </c>
      <c r="C13" s="12" t="s">
        <v>13</v>
      </c>
      <c r="D13" s="13" t="s">
        <v>13</v>
      </c>
      <c r="E13" s="13" t="s">
        <v>13</v>
      </c>
      <c r="F13" s="12" t="s">
        <v>13</v>
      </c>
      <c r="G13" s="13" t="s">
        <v>13</v>
      </c>
      <c r="H13" s="13" t="s">
        <v>13</v>
      </c>
    </row>
    <row r="14" spans="1:8" ht="13">
      <c r="A14" s="26"/>
      <c r="B14" s="11" t="s">
        <v>26</v>
      </c>
      <c r="C14" s="12">
        <v>92.80000000000001</v>
      </c>
      <c r="D14" s="13">
        <f>ROUND(108*100/128,1)</f>
        <v>84.4</v>
      </c>
      <c r="E14" s="13">
        <v>52.44755244755245</v>
      </c>
      <c r="F14" s="12">
        <v>7.199999999999999</v>
      </c>
      <c r="G14" s="13">
        <f>ROUND(20*100/128,1)</f>
        <v>15.6</v>
      </c>
      <c r="H14" s="13">
        <v>47.55244755244755</v>
      </c>
    </row>
    <row r="15" spans="1:8" ht="13">
      <c r="A15" s="26"/>
      <c r="B15" s="11" t="s">
        <v>27</v>
      </c>
      <c r="C15" s="12">
        <v>18.295454545454547</v>
      </c>
      <c r="D15" s="13"/>
      <c r="E15" s="13">
        <v>10.295291300877892</v>
      </c>
      <c r="F15" s="12">
        <v>81.70454545454545</v>
      </c>
      <c r="G15" s="13"/>
      <c r="H15" s="13">
        <v>89.70470869912211</v>
      </c>
    </row>
    <row r="16" spans="1:8" ht="13">
      <c r="A16" s="26"/>
      <c r="B16" s="11" t="s">
        <v>4</v>
      </c>
      <c r="C16" s="12">
        <v>38.66459627329192</v>
      </c>
      <c r="D16" s="13">
        <f>ROUND(916*100/3686,1)</f>
        <v>24.9</v>
      </c>
      <c r="E16" s="13">
        <v>13.308957952468006</v>
      </c>
      <c r="F16" s="12">
        <v>61.33540372670807</v>
      </c>
      <c r="G16" s="13">
        <f>ROUND(2770*100/3686,1)</f>
        <v>75.1</v>
      </c>
      <c r="H16" s="13">
        <v>86.691042047532</v>
      </c>
    </row>
    <row r="17" spans="1:8" ht="13">
      <c r="A17" s="26"/>
      <c r="B17" s="11" t="s">
        <v>5</v>
      </c>
      <c r="C17" s="12">
        <v>77.47747747747748</v>
      </c>
      <c r="D17" s="13">
        <f>ROUND(106*100/129,1)</f>
        <v>82.2</v>
      </c>
      <c r="E17" s="13">
        <v>53.431372549019606</v>
      </c>
      <c r="F17" s="12">
        <v>22.52252252252252</v>
      </c>
      <c r="G17" s="13">
        <f>ROUND(23*100/129,1)</f>
        <v>17.8</v>
      </c>
      <c r="H17" s="13">
        <v>46.568627450980394</v>
      </c>
    </row>
    <row r="18" spans="1:8" ht="13">
      <c r="A18" s="26"/>
      <c r="B18" s="11" t="s">
        <v>28</v>
      </c>
      <c r="C18" s="12">
        <v>51.58462575859743</v>
      </c>
      <c r="D18" s="13">
        <f>ROUND(711*100/1302,1)</f>
        <v>54.6</v>
      </c>
      <c r="E18" s="13" t="s">
        <v>13</v>
      </c>
      <c r="F18" s="12">
        <v>48.48280512474714</v>
      </c>
      <c r="G18" s="13">
        <f>ROUND(591*100/1302,1)</f>
        <v>45.4</v>
      </c>
      <c r="H18" s="13" t="s">
        <v>13</v>
      </c>
    </row>
    <row r="19" spans="1:8" ht="13">
      <c r="A19" s="26"/>
      <c r="B19" s="11" t="s">
        <v>29</v>
      </c>
      <c r="C19" s="12">
        <v>27.7027027027027</v>
      </c>
      <c r="D19" s="13">
        <f>ROUND(25*100/104,1)</f>
        <v>24</v>
      </c>
      <c r="E19" s="13">
        <v>24.03846153846154</v>
      </c>
      <c r="F19" s="12">
        <v>72.2972972972973</v>
      </c>
      <c r="G19" s="13">
        <f>ROUND(79*100/104,1)</f>
        <v>76</v>
      </c>
      <c r="H19" s="13">
        <v>75.96153846153845</v>
      </c>
    </row>
    <row r="20" spans="1:8" ht="13">
      <c r="A20" s="26"/>
      <c r="B20" s="11" t="s">
        <v>30</v>
      </c>
      <c r="C20" s="12">
        <v>75.80645161290323</v>
      </c>
      <c r="D20" s="13">
        <f>ROUND(36*100/50,1)</f>
        <v>72</v>
      </c>
      <c r="E20" s="13">
        <v>74.07407407407408</v>
      </c>
      <c r="F20" s="12">
        <v>24.193548387096776</v>
      </c>
      <c r="G20" s="13">
        <f>ROUND(14*100/50,1)</f>
        <v>28</v>
      </c>
      <c r="H20" s="13">
        <v>25.925925925925924</v>
      </c>
    </row>
    <row r="21" spans="1:8" ht="13">
      <c r="A21" s="26"/>
      <c r="B21" s="11" t="s">
        <v>31</v>
      </c>
      <c r="C21" s="12" t="s">
        <v>13</v>
      </c>
      <c r="D21" s="13">
        <f>ROUND(2*100/46,1)</f>
        <v>4.3</v>
      </c>
      <c r="E21" s="13" t="s">
        <v>59</v>
      </c>
      <c r="F21" s="12" t="s">
        <v>13</v>
      </c>
      <c r="G21" s="13">
        <f>ROUND(44*100/46,1)</f>
        <v>95.7</v>
      </c>
      <c r="H21" s="13">
        <v>100</v>
      </c>
    </row>
    <row r="22" spans="1:8" ht="13">
      <c r="A22" s="26"/>
      <c r="B22" s="11" t="s">
        <v>6</v>
      </c>
      <c r="C22" s="12">
        <v>93.4959349593496</v>
      </c>
      <c r="D22" s="13">
        <f>ROUND(360*100/449,1)</f>
        <v>80.2</v>
      </c>
      <c r="E22" s="13">
        <v>43.79263301500682</v>
      </c>
      <c r="F22" s="12">
        <v>6.504065040650407</v>
      </c>
      <c r="G22" s="13">
        <f>ROUND(89*100/449,1)</f>
        <v>19.8</v>
      </c>
      <c r="H22" s="13">
        <v>56.20736698499318</v>
      </c>
    </row>
    <row r="23" spans="1:8" ht="13">
      <c r="A23" s="26"/>
      <c r="B23" s="11" t="s">
        <v>32</v>
      </c>
      <c r="C23" s="12" t="s">
        <v>13</v>
      </c>
      <c r="D23" s="13" t="s">
        <v>13</v>
      </c>
      <c r="E23" s="13" t="s">
        <v>13</v>
      </c>
      <c r="F23" s="12" t="s">
        <v>13</v>
      </c>
      <c r="G23" s="13" t="s">
        <v>13</v>
      </c>
      <c r="H23" s="13" t="s">
        <v>13</v>
      </c>
    </row>
    <row r="24" spans="1:8" ht="13">
      <c r="A24" s="26"/>
      <c r="B24" s="11" t="s">
        <v>33</v>
      </c>
      <c r="C24" s="12" t="s">
        <v>13</v>
      </c>
      <c r="D24" s="13">
        <f>ROUND(213*100/635,1)</f>
        <v>33.5</v>
      </c>
      <c r="E24" s="13">
        <v>54.21686746987952</v>
      </c>
      <c r="F24" s="12" t="s">
        <v>13</v>
      </c>
      <c r="G24" s="13">
        <f>ROUND(422*100/635,1)</f>
        <v>66.5</v>
      </c>
      <c r="H24" s="13">
        <v>45.78313253012048</v>
      </c>
    </row>
    <row r="25" spans="1:12" ht="13">
      <c r="A25" s="26"/>
      <c r="B25" s="11" t="s">
        <v>219</v>
      </c>
      <c r="C25" s="12">
        <v>6.354748603351955</v>
      </c>
      <c r="D25" s="13">
        <f>ROUND(209*100/1435,1)</f>
        <v>14.6</v>
      </c>
      <c r="E25" s="13">
        <v>9.70059880239521</v>
      </c>
      <c r="F25" s="12">
        <v>93.64525139664805</v>
      </c>
      <c r="G25" s="13">
        <f>ROUND(1226*100/1435,1)</f>
        <v>85.4</v>
      </c>
      <c r="H25" s="13">
        <v>90.2994011976048</v>
      </c>
      <c r="J25" s="27"/>
      <c r="K25" s="27"/>
      <c r="L25" s="27"/>
    </row>
    <row r="26" spans="1:8" ht="13">
      <c r="A26" s="26"/>
      <c r="B26" s="11" t="s">
        <v>34</v>
      </c>
      <c r="C26" s="12" t="s">
        <v>13</v>
      </c>
      <c r="D26" s="13" t="s">
        <v>13</v>
      </c>
      <c r="E26" s="13">
        <v>20.081967213114755</v>
      </c>
      <c r="F26" s="12" t="s">
        <v>13</v>
      </c>
      <c r="G26" s="13" t="s">
        <v>13</v>
      </c>
      <c r="H26" s="13">
        <v>79.91803278688525</v>
      </c>
    </row>
    <row r="27" spans="1:8" ht="13">
      <c r="A27" s="26"/>
      <c r="B27" s="11" t="s">
        <v>8</v>
      </c>
      <c r="C27" s="12">
        <v>97.58064516129032</v>
      </c>
      <c r="D27" s="13">
        <f>ROUND(291*100/332,1)</f>
        <v>87.7</v>
      </c>
      <c r="E27" s="13">
        <v>88.38451268357811</v>
      </c>
      <c r="F27" s="12">
        <v>2.4193548387096775</v>
      </c>
      <c r="G27" s="13">
        <f>ROUND(41*100/332,1)</f>
        <v>12.3</v>
      </c>
      <c r="H27" s="13">
        <v>11.615487316421897</v>
      </c>
    </row>
    <row r="28" spans="1:8" ht="13">
      <c r="A28" s="26"/>
      <c r="B28" s="11" t="s">
        <v>35</v>
      </c>
      <c r="C28" s="12">
        <v>62.5</v>
      </c>
      <c r="D28" s="13">
        <f>ROUND(70*100/109,1)</f>
        <v>64.2</v>
      </c>
      <c r="E28" s="13">
        <v>48.837209302325576</v>
      </c>
      <c r="F28" s="12">
        <v>37.5</v>
      </c>
      <c r="G28" s="13">
        <f>ROUND(39*100/109,1)</f>
        <v>35.8</v>
      </c>
      <c r="H28" s="13">
        <v>51.162790697674424</v>
      </c>
    </row>
    <row r="29" spans="1:8" ht="13">
      <c r="A29" s="26"/>
      <c r="B29" s="11" t="s">
        <v>9</v>
      </c>
      <c r="C29" s="12">
        <v>74.37722419928826</v>
      </c>
      <c r="D29" s="13">
        <f>ROUND(179*100/227,1)</f>
        <v>78.9</v>
      </c>
      <c r="E29" s="13">
        <v>57.42574257425742</v>
      </c>
      <c r="F29" s="12">
        <v>25.622775800711743</v>
      </c>
      <c r="G29" s="13">
        <f>ROUND(48*100/227,1)</f>
        <v>21.1</v>
      </c>
      <c r="H29" s="13">
        <v>42.57425742574257</v>
      </c>
    </row>
    <row r="30" spans="1:8" ht="13">
      <c r="A30" s="26"/>
      <c r="B30" s="14" t="s">
        <v>10</v>
      </c>
      <c r="C30" s="15">
        <v>6.369426751592357</v>
      </c>
      <c r="D30" s="13">
        <f>ROUND(16*100/183,1)</f>
        <v>8.7</v>
      </c>
      <c r="E30" s="16" t="s">
        <v>13</v>
      </c>
      <c r="F30" s="15">
        <v>93.63057324840764</v>
      </c>
      <c r="G30" s="13">
        <f>ROUND(167*100/183,1)</f>
        <v>91.3</v>
      </c>
      <c r="H30" s="16" t="s">
        <v>13</v>
      </c>
    </row>
    <row r="31" spans="1:8" ht="13">
      <c r="A31" s="26"/>
      <c r="B31" s="17" t="s">
        <v>36</v>
      </c>
      <c r="C31" s="18">
        <v>10.846560846560847</v>
      </c>
      <c r="D31" s="18">
        <f>ROUND(90*100/1611,1)</f>
        <v>5.6</v>
      </c>
      <c r="E31" s="19">
        <v>2.8907563025210083</v>
      </c>
      <c r="F31" s="18">
        <v>89.15343915343915</v>
      </c>
      <c r="G31" s="18">
        <f>ROUND(1521*100/1611,1)</f>
        <v>94.4</v>
      </c>
      <c r="H31" s="19">
        <v>97.10924369747899</v>
      </c>
    </row>
    <row r="32" spans="1:8" ht="13">
      <c r="A32" s="26"/>
      <c r="B32" s="28" t="s">
        <v>37</v>
      </c>
      <c r="C32" s="29" t="s">
        <v>13</v>
      </c>
      <c r="D32" s="30" t="s">
        <v>13</v>
      </c>
      <c r="E32" s="30" t="s">
        <v>13</v>
      </c>
      <c r="F32" s="29" t="s">
        <v>13</v>
      </c>
      <c r="G32" s="30" t="s">
        <v>13</v>
      </c>
      <c r="H32" s="30" t="s">
        <v>13</v>
      </c>
    </row>
    <row r="33" spans="2:8" ht="13">
      <c r="B33" s="11" t="s">
        <v>220</v>
      </c>
      <c r="C33" s="18" t="s">
        <v>13</v>
      </c>
      <c r="D33" s="19" t="s">
        <v>13</v>
      </c>
      <c r="E33" s="19">
        <v>27.933450087565674</v>
      </c>
      <c r="F33" s="18" t="s">
        <v>13</v>
      </c>
      <c r="G33" s="19" t="s">
        <v>13</v>
      </c>
      <c r="H33" s="19">
        <v>72.06654991243433</v>
      </c>
    </row>
    <row r="34" spans="2:8" ht="13">
      <c r="B34" s="8" t="s">
        <v>78</v>
      </c>
      <c r="C34" s="9" t="s">
        <v>13</v>
      </c>
      <c r="D34" s="10">
        <f>ROUND(4*100/19,1)</f>
        <v>21.1</v>
      </c>
      <c r="E34" s="10">
        <v>20</v>
      </c>
      <c r="F34" s="9" t="s">
        <v>13</v>
      </c>
      <c r="G34" s="10">
        <f>ROUND(15*100/19,1)</f>
        <v>78.9</v>
      </c>
      <c r="H34" s="10">
        <v>80</v>
      </c>
    </row>
    <row r="35" spans="2:8" ht="13.15" customHeight="1">
      <c r="B35" s="4" t="s">
        <v>163</v>
      </c>
      <c r="C35" s="29" t="s">
        <v>13</v>
      </c>
      <c r="D35" s="30" t="s">
        <v>13</v>
      </c>
      <c r="E35" s="30" t="s">
        <v>59</v>
      </c>
      <c r="F35" s="29" t="s">
        <v>13</v>
      </c>
      <c r="G35" s="30" t="s">
        <v>13</v>
      </c>
      <c r="H35" s="30">
        <v>100</v>
      </c>
    </row>
    <row r="36" spans="2:8" ht="13">
      <c r="B36" s="14" t="s">
        <v>153</v>
      </c>
      <c r="C36" s="15" t="s">
        <v>13</v>
      </c>
      <c r="D36" s="16">
        <v>100</v>
      </c>
      <c r="E36" s="16">
        <v>100</v>
      </c>
      <c r="F36" s="15" t="s">
        <v>13</v>
      </c>
      <c r="G36" s="16" t="s">
        <v>59</v>
      </c>
      <c r="H36" s="13" t="s">
        <v>59</v>
      </c>
    </row>
    <row r="37" spans="2:8" ht="13">
      <c r="B37" s="14" t="s">
        <v>58</v>
      </c>
      <c r="C37" s="15">
        <v>76.47058823529412</v>
      </c>
      <c r="D37" s="16">
        <v>60</v>
      </c>
      <c r="E37" s="16">
        <v>60</v>
      </c>
      <c r="F37" s="15">
        <v>23.52941176470588</v>
      </c>
      <c r="G37" s="16">
        <v>40</v>
      </c>
      <c r="H37" s="16">
        <v>40</v>
      </c>
    </row>
    <row r="38" spans="2:8" ht="13">
      <c r="B38" s="14" t="s">
        <v>154</v>
      </c>
      <c r="C38" s="15" t="s">
        <v>13</v>
      </c>
      <c r="D38" s="16" t="s">
        <v>13</v>
      </c>
      <c r="E38" s="16" t="s">
        <v>59</v>
      </c>
      <c r="F38" s="15" t="s">
        <v>13</v>
      </c>
      <c r="G38" s="16" t="s">
        <v>13</v>
      </c>
      <c r="H38" s="16">
        <v>100</v>
      </c>
    </row>
    <row r="39" spans="2:8" ht="13">
      <c r="B39" s="14" t="s">
        <v>77</v>
      </c>
      <c r="C39" s="15" t="s">
        <v>13</v>
      </c>
      <c r="D39" s="16" t="s">
        <v>13</v>
      </c>
      <c r="E39" s="16" t="s">
        <v>13</v>
      </c>
      <c r="F39" s="15" t="s">
        <v>13</v>
      </c>
      <c r="G39" s="16" t="s">
        <v>13</v>
      </c>
      <c r="H39" s="16" t="s">
        <v>13</v>
      </c>
    </row>
    <row r="40" spans="2:8" ht="13">
      <c r="B40" s="14" t="s">
        <v>64</v>
      </c>
      <c r="C40" s="12" t="s">
        <v>13</v>
      </c>
      <c r="D40" s="13" t="s">
        <v>13</v>
      </c>
      <c r="E40" s="13" t="s">
        <v>13</v>
      </c>
      <c r="F40" s="12" t="s">
        <v>13</v>
      </c>
      <c r="G40" s="13" t="s">
        <v>13</v>
      </c>
      <c r="H40" s="13" t="s">
        <v>13</v>
      </c>
    </row>
    <row r="41" spans="2:8" ht="13">
      <c r="B41" s="11" t="s">
        <v>221</v>
      </c>
      <c r="C41" s="31">
        <v>36.2962962962963</v>
      </c>
      <c r="D41" s="13">
        <f>ROUND(67*100/175,1)</f>
        <v>38.3</v>
      </c>
      <c r="E41" s="16">
        <v>46.91943127962085</v>
      </c>
      <c r="F41" s="15">
        <v>63.70370370370371</v>
      </c>
      <c r="G41" s="13">
        <f>ROUND(108*100/175,1)</f>
        <v>61.7</v>
      </c>
      <c r="H41" s="16">
        <v>53.08056872037915</v>
      </c>
    </row>
    <row r="42" spans="2:8" ht="13">
      <c r="B42" s="17" t="s">
        <v>157</v>
      </c>
      <c r="C42" s="18" t="s">
        <v>13</v>
      </c>
      <c r="D42" s="19" t="s">
        <v>13</v>
      </c>
      <c r="E42" s="19" t="s">
        <v>13</v>
      </c>
      <c r="F42" s="18" t="s">
        <v>13</v>
      </c>
      <c r="G42" s="19" t="s">
        <v>13</v>
      </c>
      <c r="H42" s="19" t="s">
        <v>13</v>
      </c>
    </row>
    <row r="43" spans="2:8" ht="13">
      <c r="B43" s="227" t="s">
        <v>215</v>
      </c>
      <c r="C43" s="228" t="s">
        <v>13</v>
      </c>
      <c r="D43" s="229" t="s">
        <v>13</v>
      </c>
      <c r="E43" s="229">
        <v>100</v>
      </c>
      <c r="F43" s="228" t="s">
        <v>13</v>
      </c>
      <c r="G43" s="229" t="s">
        <v>13</v>
      </c>
      <c r="H43" s="229" t="s">
        <v>59</v>
      </c>
    </row>
    <row r="45" ht="15" customHeight="1">
      <c r="B45" s="1" t="s">
        <v>60</v>
      </c>
    </row>
    <row r="46" spans="2:9" ht="15" customHeight="1">
      <c r="B46" s="208" t="s">
        <v>217</v>
      </c>
      <c r="I46" s="22"/>
    </row>
    <row r="47" spans="2:9" ht="15" customHeight="1">
      <c r="B47" s="208" t="s">
        <v>222</v>
      </c>
      <c r="I47" s="22"/>
    </row>
    <row r="48" spans="2:9" ht="15" customHeight="1">
      <c r="B48" s="208" t="s">
        <v>165</v>
      </c>
      <c r="I48" s="22"/>
    </row>
    <row r="49" spans="2:5" ht="15">
      <c r="B49" s="1" t="s">
        <v>98</v>
      </c>
      <c r="C49" s="1"/>
      <c r="D49" s="1"/>
      <c r="E49" s="1"/>
    </row>
    <row r="50" spans="2:5" ht="15">
      <c r="B50" s="1" t="s">
        <v>246</v>
      </c>
      <c r="C50" s="1"/>
      <c r="D50" s="1"/>
      <c r="E50" s="1"/>
    </row>
    <row r="51" spans="2:5" ht="15">
      <c r="B51" s="1" t="s">
        <v>245</v>
      </c>
      <c r="C51" s="1"/>
      <c r="D51" s="1"/>
      <c r="E51" s="1"/>
    </row>
    <row r="52" ht="13">
      <c r="B52" s="32" t="s">
        <v>143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N47"/>
  <sheetViews>
    <sheetView showGridLines="0" workbookViewId="0" topLeftCell="A1">
      <selection activeCell="B2" sqref="B2:M47"/>
    </sheetView>
  </sheetViews>
  <sheetFormatPr defaultColWidth="9.7109375" defaultRowHeight="15"/>
  <cols>
    <col min="1" max="1" width="9.7109375" style="3" customWidth="1"/>
    <col min="2" max="2" width="22.8515625" style="3" customWidth="1"/>
    <col min="3" max="13" width="8.7109375" style="3" customWidth="1"/>
    <col min="14" max="16384" width="9.7109375" style="3" customWidth="1"/>
  </cols>
  <sheetData>
    <row r="2" ht="13">
      <c r="B2" s="4" t="s">
        <v>156</v>
      </c>
    </row>
    <row r="3" ht="15">
      <c r="B3" s="1" t="s">
        <v>66</v>
      </c>
    </row>
    <row r="5" spans="2:13" ht="13">
      <c r="B5" s="33"/>
      <c r="C5" s="34">
        <v>2012</v>
      </c>
      <c r="D5" s="33">
        <v>2013</v>
      </c>
      <c r="E5" s="33">
        <v>2014</v>
      </c>
      <c r="F5" s="33">
        <v>2015</v>
      </c>
      <c r="G5" s="33">
        <v>2016</v>
      </c>
      <c r="H5" s="33">
        <v>2017</v>
      </c>
      <c r="I5" s="33">
        <v>2018</v>
      </c>
      <c r="J5" s="33">
        <v>2019</v>
      </c>
      <c r="K5" s="33">
        <v>2020</v>
      </c>
      <c r="L5" s="33">
        <v>2021</v>
      </c>
      <c r="M5" s="33">
        <v>2022</v>
      </c>
    </row>
    <row r="6" spans="2:13" ht="13">
      <c r="B6" s="28" t="s">
        <v>23</v>
      </c>
      <c r="C6" s="35" t="s">
        <v>13</v>
      </c>
      <c r="D6" s="36" t="s">
        <v>13</v>
      </c>
      <c r="E6" s="36" t="s">
        <v>13</v>
      </c>
      <c r="F6" s="36" t="s">
        <v>13</v>
      </c>
      <c r="G6" s="36" t="s">
        <v>13</v>
      </c>
      <c r="H6" s="36" t="s">
        <v>13</v>
      </c>
      <c r="I6" s="36" t="s">
        <v>13</v>
      </c>
      <c r="J6" s="36" t="s">
        <v>13</v>
      </c>
      <c r="K6" s="36" t="s">
        <v>13</v>
      </c>
      <c r="L6" s="36" t="s">
        <v>13</v>
      </c>
      <c r="M6" s="36" t="s">
        <v>13</v>
      </c>
    </row>
    <row r="7" spans="2:13" ht="13">
      <c r="B7" s="11" t="s">
        <v>1</v>
      </c>
      <c r="C7" s="37">
        <v>84</v>
      </c>
      <c r="D7" s="38">
        <v>86.7</v>
      </c>
      <c r="E7" s="38" t="s">
        <v>13</v>
      </c>
      <c r="F7" s="38" t="s">
        <v>13</v>
      </c>
      <c r="G7" s="38" t="s">
        <v>13</v>
      </c>
      <c r="H7" s="38" t="s">
        <v>13</v>
      </c>
      <c r="I7" s="38" t="s">
        <v>13</v>
      </c>
      <c r="J7" s="38" t="s">
        <v>13</v>
      </c>
      <c r="K7" s="38" t="s">
        <v>13</v>
      </c>
      <c r="L7" s="38" t="s">
        <v>13</v>
      </c>
      <c r="M7" s="38" t="s">
        <v>13</v>
      </c>
    </row>
    <row r="8" spans="2:14" ht="13">
      <c r="B8" s="11" t="s">
        <v>56</v>
      </c>
      <c r="C8" s="37">
        <v>293</v>
      </c>
      <c r="D8" s="38">
        <v>288</v>
      </c>
      <c r="E8" s="38">
        <v>287</v>
      </c>
      <c r="F8" s="38">
        <v>283</v>
      </c>
      <c r="G8" s="38">
        <v>266</v>
      </c>
      <c r="H8" s="38">
        <v>270</v>
      </c>
      <c r="I8" s="38">
        <v>270</v>
      </c>
      <c r="J8" s="38">
        <v>252</v>
      </c>
      <c r="K8" s="38">
        <v>275</v>
      </c>
      <c r="L8" s="38">
        <v>281</v>
      </c>
      <c r="M8" s="38">
        <v>272</v>
      </c>
      <c r="N8" s="205"/>
    </row>
    <row r="9" spans="2:14" ht="13">
      <c r="B9" s="11" t="s">
        <v>24</v>
      </c>
      <c r="C9" s="37" t="s">
        <v>13</v>
      </c>
      <c r="D9" s="38">
        <v>141</v>
      </c>
      <c r="E9" s="38">
        <v>144</v>
      </c>
      <c r="F9" s="38">
        <v>148</v>
      </c>
      <c r="G9" s="38">
        <v>126</v>
      </c>
      <c r="H9" s="38">
        <v>118</v>
      </c>
      <c r="I9" s="38">
        <v>120</v>
      </c>
      <c r="J9" s="38">
        <v>117</v>
      </c>
      <c r="K9" s="38">
        <v>113</v>
      </c>
      <c r="L9" s="38">
        <v>114</v>
      </c>
      <c r="M9" s="38">
        <v>108</v>
      </c>
      <c r="N9" s="205"/>
    </row>
    <row r="10" spans="2:14" ht="13">
      <c r="B10" s="11" t="s">
        <v>2</v>
      </c>
      <c r="C10" s="37" t="s">
        <v>13</v>
      </c>
      <c r="D10" s="38" t="s">
        <v>13</v>
      </c>
      <c r="E10" s="38" t="s">
        <v>13</v>
      </c>
      <c r="F10" s="38" t="s">
        <v>13</v>
      </c>
      <c r="G10" s="38" t="s">
        <v>13</v>
      </c>
      <c r="H10" s="38" t="s">
        <v>13</v>
      </c>
      <c r="I10" s="38" t="s">
        <v>13</v>
      </c>
      <c r="J10" s="38" t="s">
        <v>13</v>
      </c>
      <c r="K10" s="38" t="s">
        <v>13</v>
      </c>
      <c r="L10" s="38" t="s">
        <v>13</v>
      </c>
      <c r="M10" s="38" t="s">
        <v>13</v>
      </c>
      <c r="N10" s="39"/>
    </row>
    <row r="11" spans="2:14" ht="13">
      <c r="B11" s="11" t="s">
        <v>3</v>
      </c>
      <c r="C11" s="37">
        <v>17.8</v>
      </c>
      <c r="D11" s="38">
        <v>24.1</v>
      </c>
      <c r="E11" s="38">
        <v>25.25</v>
      </c>
      <c r="F11" s="38">
        <v>25.25</v>
      </c>
      <c r="G11" s="38">
        <v>25.25</v>
      </c>
      <c r="H11" s="38">
        <v>25.03</v>
      </c>
      <c r="I11" s="38">
        <v>25</v>
      </c>
      <c r="J11" s="38">
        <v>25</v>
      </c>
      <c r="K11" s="38">
        <v>14.64</v>
      </c>
      <c r="L11" s="38">
        <v>7.31</v>
      </c>
      <c r="M11" s="38">
        <v>7.31</v>
      </c>
      <c r="N11" s="205"/>
    </row>
    <row r="12" spans="2:14" ht="13">
      <c r="B12" s="11" t="s">
        <v>25</v>
      </c>
      <c r="C12" s="37">
        <v>40.7</v>
      </c>
      <c r="D12" s="38">
        <v>40.7</v>
      </c>
      <c r="E12" s="38">
        <v>40.7</v>
      </c>
      <c r="F12" s="38">
        <v>40.7</v>
      </c>
      <c r="G12" s="38">
        <v>40.7</v>
      </c>
      <c r="H12" s="38">
        <v>40.7</v>
      </c>
      <c r="I12" s="38">
        <v>40.7</v>
      </c>
      <c r="J12" s="38">
        <v>40.7</v>
      </c>
      <c r="K12" s="38">
        <v>40.7</v>
      </c>
      <c r="L12" s="38" t="s">
        <v>13</v>
      </c>
      <c r="M12" s="38" t="s">
        <v>13</v>
      </c>
      <c r="N12" s="39"/>
    </row>
    <row r="13" spans="2:14" ht="13">
      <c r="B13" s="11" t="s">
        <v>26</v>
      </c>
      <c r="C13" s="37">
        <v>37</v>
      </c>
      <c r="D13" s="38" t="s">
        <v>13</v>
      </c>
      <c r="E13" s="38">
        <v>36.5</v>
      </c>
      <c r="F13" s="38">
        <v>36.5</v>
      </c>
      <c r="G13" s="38">
        <v>36.5</v>
      </c>
      <c r="H13" s="38">
        <v>36.5</v>
      </c>
      <c r="I13" s="38">
        <v>20.06</v>
      </c>
      <c r="J13" s="38">
        <v>20.06</v>
      </c>
      <c r="K13" s="38">
        <v>20.06</v>
      </c>
      <c r="L13" s="38">
        <v>20.06</v>
      </c>
      <c r="M13" s="38">
        <v>21.15</v>
      </c>
      <c r="N13" s="39"/>
    </row>
    <row r="14" spans="2:14" ht="13">
      <c r="B14" s="11" t="s">
        <v>27</v>
      </c>
      <c r="C14" s="37" t="s">
        <v>13</v>
      </c>
      <c r="D14" s="38" t="s">
        <v>13</v>
      </c>
      <c r="E14" s="38" t="s">
        <v>13</v>
      </c>
      <c r="F14" s="38" t="s">
        <v>13</v>
      </c>
      <c r="G14" s="38">
        <v>254</v>
      </c>
      <c r="H14" s="38">
        <v>254</v>
      </c>
      <c r="I14" s="38">
        <v>192</v>
      </c>
      <c r="J14" s="38">
        <v>237.168</v>
      </c>
      <c r="K14" s="38">
        <v>237.166</v>
      </c>
      <c r="L14" s="38">
        <v>237.166</v>
      </c>
      <c r="M14" s="38">
        <v>250</v>
      </c>
      <c r="N14" s="39"/>
    </row>
    <row r="15" spans="2:14" ht="13">
      <c r="B15" s="11" t="s">
        <v>4</v>
      </c>
      <c r="C15" s="37" t="s">
        <v>13</v>
      </c>
      <c r="D15" s="38" t="s">
        <v>13</v>
      </c>
      <c r="E15" s="38" t="s">
        <v>13</v>
      </c>
      <c r="F15" s="38" t="s">
        <v>13</v>
      </c>
      <c r="G15" s="38" t="s">
        <v>13</v>
      </c>
      <c r="H15" s="38" t="s">
        <v>13</v>
      </c>
      <c r="I15" s="38" t="s">
        <v>13</v>
      </c>
      <c r="J15" s="38" t="s">
        <v>13</v>
      </c>
      <c r="K15" s="38" t="s">
        <v>13</v>
      </c>
      <c r="L15" s="38" t="s">
        <v>13</v>
      </c>
      <c r="M15" s="38" t="s">
        <v>13</v>
      </c>
      <c r="N15" s="39"/>
    </row>
    <row r="16" spans="2:14" ht="13">
      <c r="B16" s="11" t="s">
        <v>5</v>
      </c>
      <c r="C16" s="37">
        <v>33</v>
      </c>
      <c r="D16" s="38">
        <v>33</v>
      </c>
      <c r="E16" s="38">
        <v>33</v>
      </c>
      <c r="F16" s="38">
        <v>36</v>
      </c>
      <c r="G16" s="38">
        <v>36</v>
      </c>
      <c r="H16" s="38">
        <v>36</v>
      </c>
      <c r="I16" s="38">
        <v>33</v>
      </c>
      <c r="J16" s="38">
        <v>31</v>
      </c>
      <c r="K16" s="38">
        <v>31</v>
      </c>
      <c r="L16" s="38">
        <v>32</v>
      </c>
      <c r="M16" s="38">
        <v>28</v>
      </c>
      <c r="N16" s="39"/>
    </row>
    <row r="17" spans="2:14" ht="13">
      <c r="B17" s="11" t="s">
        <v>28</v>
      </c>
      <c r="C17" s="37" t="s">
        <v>13</v>
      </c>
      <c r="D17" s="38" t="s">
        <v>13</v>
      </c>
      <c r="E17" s="38" t="s">
        <v>13</v>
      </c>
      <c r="F17" s="38" t="s">
        <v>13</v>
      </c>
      <c r="G17" s="38" t="s">
        <v>13</v>
      </c>
      <c r="H17" s="38" t="s">
        <v>13</v>
      </c>
      <c r="I17" s="38" t="s">
        <v>13</v>
      </c>
      <c r="J17" s="38" t="s">
        <v>13</v>
      </c>
      <c r="K17" s="38" t="s">
        <v>13</v>
      </c>
      <c r="L17" s="38" t="s">
        <v>13</v>
      </c>
      <c r="M17" s="38" t="s">
        <v>13</v>
      </c>
      <c r="N17" s="39"/>
    </row>
    <row r="18" spans="2:14" ht="13">
      <c r="B18" s="11" t="s">
        <v>29</v>
      </c>
      <c r="C18" s="37" t="s">
        <v>13</v>
      </c>
      <c r="D18" s="38" t="s">
        <v>13</v>
      </c>
      <c r="E18" s="38" t="s">
        <v>13</v>
      </c>
      <c r="F18" s="38" t="s">
        <v>13</v>
      </c>
      <c r="G18" s="38" t="s">
        <v>13</v>
      </c>
      <c r="H18" s="38" t="s">
        <v>13</v>
      </c>
      <c r="I18" s="38" t="s">
        <v>13</v>
      </c>
      <c r="J18" s="38" t="s">
        <v>13</v>
      </c>
      <c r="K18" s="38" t="s">
        <v>13</v>
      </c>
      <c r="L18" s="38" t="s">
        <v>13</v>
      </c>
      <c r="M18" s="38" t="s">
        <v>13</v>
      </c>
      <c r="N18" s="39"/>
    </row>
    <row r="19" spans="2:14" ht="13">
      <c r="B19" s="11" t="s">
        <v>30</v>
      </c>
      <c r="C19" s="37">
        <v>18.2</v>
      </c>
      <c r="D19" s="38">
        <v>17.7</v>
      </c>
      <c r="E19" s="38">
        <v>15.7</v>
      </c>
      <c r="F19" s="38">
        <v>14.3</v>
      </c>
      <c r="G19" s="38">
        <v>15.9</v>
      </c>
      <c r="H19" s="38">
        <v>15.6</v>
      </c>
      <c r="I19" s="38">
        <v>14.7</v>
      </c>
      <c r="J19" s="38">
        <v>11.7</v>
      </c>
      <c r="K19" s="38">
        <v>34.6</v>
      </c>
      <c r="L19" s="38">
        <v>34.6</v>
      </c>
      <c r="M19" s="38">
        <v>10.5</v>
      </c>
      <c r="N19" s="39"/>
    </row>
    <row r="20" spans="2:14" ht="13">
      <c r="B20" s="11" t="s">
        <v>31</v>
      </c>
      <c r="C20" s="37">
        <v>24</v>
      </c>
      <c r="D20" s="38">
        <v>24</v>
      </c>
      <c r="E20" s="38">
        <v>24</v>
      </c>
      <c r="F20" s="38">
        <v>26</v>
      </c>
      <c r="G20" s="38">
        <v>26</v>
      </c>
      <c r="H20" s="38">
        <v>27</v>
      </c>
      <c r="I20" s="38">
        <v>26</v>
      </c>
      <c r="J20" s="38">
        <v>26</v>
      </c>
      <c r="K20" s="38">
        <v>26</v>
      </c>
      <c r="L20" s="38">
        <v>26.627</v>
      </c>
      <c r="M20" s="38">
        <v>26.627</v>
      </c>
      <c r="N20" s="39"/>
    </row>
    <row r="21" spans="2:14" ht="13">
      <c r="B21" s="11" t="s">
        <v>6</v>
      </c>
      <c r="C21" s="37" t="s">
        <v>13</v>
      </c>
      <c r="D21" s="38" t="s">
        <v>13</v>
      </c>
      <c r="E21" s="38" t="s">
        <v>13</v>
      </c>
      <c r="F21" s="38" t="s">
        <v>13</v>
      </c>
      <c r="G21" s="38" t="s">
        <v>13</v>
      </c>
      <c r="H21" s="38" t="s">
        <v>13</v>
      </c>
      <c r="I21" s="38" t="s">
        <v>13</v>
      </c>
      <c r="J21" s="38" t="s">
        <v>13</v>
      </c>
      <c r="K21" s="38" t="s">
        <v>13</v>
      </c>
      <c r="L21" s="38" t="s">
        <v>13</v>
      </c>
      <c r="M21" s="38" t="s">
        <v>13</v>
      </c>
      <c r="N21" s="39"/>
    </row>
    <row r="22" spans="2:14" ht="13">
      <c r="B22" s="11" t="s">
        <v>32</v>
      </c>
      <c r="C22" s="37" t="s">
        <v>13</v>
      </c>
      <c r="D22" s="38" t="s">
        <v>13</v>
      </c>
      <c r="E22" s="38" t="s">
        <v>13</v>
      </c>
      <c r="F22" s="38" t="s">
        <v>13</v>
      </c>
      <c r="G22" s="38" t="s">
        <v>13</v>
      </c>
      <c r="H22" s="38" t="s">
        <v>13</v>
      </c>
      <c r="I22" s="38" t="s">
        <v>13</v>
      </c>
      <c r="J22" s="38" t="s">
        <v>13</v>
      </c>
      <c r="K22" s="38" t="s">
        <v>13</v>
      </c>
      <c r="L22" s="38" t="s">
        <v>13</v>
      </c>
      <c r="M22" s="38" t="s">
        <v>13</v>
      </c>
      <c r="N22" s="39"/>
    </row>
    <row r="23" spans="2:14" ht="13">
      <c r="B23" s="11" t="s">
        <v>33</v>
      </c>
      <c r="C23" s="37" t="s">
        <v>13</v>
      </c>
      <c r="D23" s="38">
        <v>269</v>
      </c>
      <c r="E23" s="38">
        <v>253</v>
      </c>
      <c r="F23" s="38">
        <v>228</v>
      </c>
      <c r="G23" s="38">
        <v>268</v>
      </c>
      <c r="H23" s="38">
        <v>239</v>
      </c>
      <c r="I23" s="38">
        <v>236</v>
      </c>
      <c r="J23" s="38">
        <v>238</v>
      </c>
      <c r="K23" s="38">
        <v>238</v>
      </c>
      <c r="L23" s="38">
        <v>241</v>
      </c>
      <c r="M23" s="38">
        <v>259</v>
      </c>
      <c r="N23" s="39"/>
    </row>
    <row r="24" spans="2:14" ht="13">
      <c r="B24" s="11" t="s">
        <v>7</v>
      </c>
      <c r="C24" s="37">
        <v>501</v>
      </c>
      <c r="D24" s="38">
        <v>490</v>
      </c>
      <c r="E24" s="38">
        <v>458</v>
      </c>
      <c r="F24" s="38">
        <v>475</v>
      </c>
      <c r="G24" s="38">
        <v>450</v>
      </c>
      <c r="H24" s="38">
        <v>463</v>
      </c>
      <c r="I24" s="38">
        <v>406</v>
      </c>
      <c r="J24" s="38">
        <v>394</v>
      </c>
      <c r="K24" s="38">
        <v>386</v>
      </c>
      <c r="L24" s="38">
        <v>418</v>
      </c>
      <c r="M24" s="38">
        <v>413</v>
      </c>
      <c r="N24" s="39"/>
    </row>
    <row r="25" spans="2:14" ht="13">
      <c r="B25" s="11" t="s">
        <v>34</v>
      </c>
      <c r="C25" s="37" t="s">
        <v>13</v>
      </c>
      <c r="D25" s="38" t="s">
        <v>13</v>
      </c>
      <c r="E25" s="38" t="s">
        <v>13</v>
      </c>
      <c r="F25" s="38" t="s">
        <v>13</v>
      </c>
      <c r="G25" s="38" t="s">
        <v>13</v>
      </c>
      <c r="H25" s="38">
        <v>162.613</v>
      </c>
      <c r="I25" s="38">
        <v>162.77</v>
      </c>
      <c r="J25" s="38">
        <v>163.63</v>
      </c>
      <c r="K25" s="38">
        <v>164.878</v>
      </c>
      <c r="L25" s="38">
        <v>164.266</v>
      </c>
      <c r="M25" s="38">
        <v>162.059</v>
      </c>
      <c r="N25" s="39"/>
    </row>
    <row r="26" spans="2:14" ht="13">
      <c r="B26" s="11" t="s">
        <v>8</v>
      </c>
      <c r="C26" s="37" t="s">
        <v>13</v>
      </c>
      <c r="D26" s="38">
        <v>270</v>
      </c>
      <c r="E26" s="38">
        <v>293</v>
      </c>
      <c r="F26" s="38">
        <v>270</v>
      </c>
      <c r="G26" s="38">
        <v>264</v>
      </c>
      <c r="H26" s="38">
        <v>264</v>
      </c>
      <c r="I26" s="38">
        <v>293</v>
      </c>
      <c r="J26" s="38">
        <v>135</v>
      </c>
      <c r="K26" s="38">
        <v>125</v>
      </c>
      <c r="L26" s="38">
        <v>159</v>
      </c>
      <c r="M26" s="38">
        <v>131</v>
      </c>
      <c r="N26" s="39"/>
    </row>
    <row r="27" spans="2:14" ht="13">
      <c r="B27" s="11" t="s">
        <v>35</v>
      </c>
      <c r="C27" s="37">
        <v>22</v>
      </c>
      <c r="D27" s="38">
        <v>22</v>
      </c>
      <c r="E27" s="38">
        <v>22</v>
      </c>
      <c r="F27" s="38">
        <v>22</v>
      </c>
      <c r="G27" s="38">
        <v>22</v>
      </c>
      <c r="H27" s="38">
        <v>22</v>
      </c>
      <c r="I27" s="38">
        <v>22</v>
      </c>
      <c r="J27" s="38">
        <v>22</v>
      </c>
      <c r="K27" s="38">
        <v>22</v>
      </c>
      <c r="L27" s="38">
        <v>28</v>
      </c>
      <c r="M27" s="38">
        <v>25</v>
      </c>
      <c r="N27" s="39"/>
    </row>
    <row r="28" spans="2:14" ht="13">
      <c r="B28" s="11" t="s">
        <v>9</v>
      </c>
      <c r="C28" s="37">
        <v>68.5</v>
      </c>
      <c r="D28" s="38">
        <v>64.4</v>
      </c>
      <c r="E28" s="38">
        <v>61.4</v>
      </c>
      <c r="F28" s="38">
        <v>61.8</v>
      </c>
      <c r="G28" s="38">
        <v>64.6</v>
      </c>
      <c r="H28" s="38">
        <v>64</v>
      </c>
      <c r="I28" s="38">
        <v>61</v>
      </c>
      <c r="J28" s="38">
        <v>60</v>
      </c>
      <c r="K28" s="38">
        <v>61.5</v>
      </c>
      <c r="L28" s="38">
        <v>56.7</v>
      </c>
      <c r="M28" s="38">
        <v>50.1</v>
      </c>
      <c r="N28" s="39"/>
    </row>
    <row r="29" spans="2:14" ht="13">
      <c r="B29" s="14" t="s">
        <v>10</v>
      </c>
      <c r="C29" s="37">
        <v>76</v>
      </c>
      <c r="D29" s="40">
        <v>78</v>
      </c>
      <c r="E29" s="40">
        <v>77</v>
      </c>
      <c r="F29" s="40">
        <v>73</v>
      </c>
      <c r="G29" s="40">
        <v>79</v>
      </c>
      <c r="H29" s="40">
        <v>80</v>
      </c>
      <c r="I29" s="40">
        <v>80</v>
      </c>
      <c r="J29" s="40" t="s">
        <v>13</v>
      </c>
      <c r="K29" s="40" t="s">
        <v>13</v>
      </c>
      <c r="L29" s="40" t="s">
        <v>13</v>
      </c>
      <c r="M29" s="40" t="s">
        <v>13</v>
      </c>
      <c r="N29" s="39"/>
    </row>
    <row r="30" spans="2:14" ht="13">
      <c r="B30" s="17" t="s">
        <v>36</v>
      </c>
      <c r="C30" s="41">
        <v>173</v>
      </c>
      <c r="D30" s="42">
        <v>177</v>
      </c>
      <c r="E30" s="42">
        <v>184</v>
      </c>
      <c r="F30" s="42">
        <v>186</v>
      </c>
      <c r="G30" s="42">
        <v>193</v>
      </c>
      <c r="H30" s="42">
        <v>195</v>
      </c>
      <c r="I30" s="42">
        <v>196</v>
      </c>
      <c r="J30" s="42">
        <v>197</v>
      </c>
      <c r="K30" s="42">
        <v>213</v>
      </c>
      <c r="L30" s="42">
        <v>220</v>
      </c>
      <c r="M30" s="42">
        <v>229</v>
      </c>
      <c r="N30" s="39"/>
    </row>
    <row r="31" spans="2:13" ht="13">
      <c r="B31" s="4" t="s">
        <v>37</v>
      </c>
      <c r="C31" s="43" t="s">
        <v>13</v>
      </c>
      <c r="D31" s="44" t="s">
        <v>13</v>
      </c>
      <c r="E31" s="44" t="s">
        <v>13</v>
      </c>
      <c r="F31" s="44" t="s">
        <v>13</v>
      </c>
      <c r="G31" s="44" t="s">
        <v>13</v>
      </c>
      <c r="H31" s="44" t="s">
        <v>13</v>
      </c>
      <c r="I31" s="44" t="s">
        <v>13</v>
      </c>
      <c r="J31" s="44" t="s">
        <v>13</v>
      </c>
      <c r="K31" s="44" t="s">
        <v>13</v>
      </c>
      <c r="L31" s="44" t="s">
        <v>13</v>
      </c>
      <c r="M31" s="44" t="s">
        <v>13</v>
      </c>
    </row>
    <row r="32" spans="2:13" ht="13">
      <c r="B32" s="17" t="s">
        <v>38</v>
      </c>
      <c r="C32" s="41" t="s">
        <v>13</v>
      </c>
      <c r="D32" s="42" t="s">
        <v>13</v>
      </c>
      <c r="E32" s="42" t="s">
        <v>13</v>
      </c>
      <c r="F32" s="42" t="s">
        <v>13</v>
      </c>
      <c r="G32" s="42" t="s">
        <v>13</v>
      </c>
      <c r="H32" s="42" t="s">
        <v>13</v>
      </c>
      <c r="I32" s="42" t="s">
        <v>13</v>
      </c>
      <c r="J32" s="42" t="s">
        <v>13</v>
      </c>
      <c r="K32" s="42" t="s">
        <v>13</v>
      </c>
      <c r="L32" s="42" t="s">
        <v>13</v>
      </c>
      <c r="M32" s="42" t="s">
        <v>13</v>
      </c>
    </row>
    <row r="33" spans="2:13" ht="13">
      <c r="B33" s="4" t="s">
        <v>78</v>
      </c>
      <c r="C33" s="43">
        <v>7</v>
      </c>
      <c r="D33" s="44">
        <v>11.488</v>
      </c>
      <c r="E33" s="44">
        <v>8.473</v>
      </c>
      <c r="F33" s="44">
        <v>8.4</v>
      </c>
      <c r="G33" s="44">
        <v>7.221</v>
      </c>
      <c r="H33" s="44">
        <v>10.398</v>
      </c>
      <c r="I33" s="44">
        <v>10.464</v>
      </c>
      <c r="J33" s="44">
        <v>8</v>
      </c>
      <c r="K33" s="44">
        <v>8</v>
      </c>
      <c r="L33" s="44">
        <v>8.103</v>
      </c>
      <c r="M33" s="44">
        <v>8.074</v>
      </c>
    </row>
    <row r="34" spans="2:13" ht="13">
      <c r="B34" s="14" t="s">
        <v>79</v>
      </c>
      <c r="C34" s="37" t="s">
        <v>13</v>
      </c>
      <c r="D34" s="40" t="s">
        <v>13</v>
      </c>
      <c r="E34" s="40" t="s">
        <v>13</v>
      </c>
      <c r="F34" s="40" t="s">
        <v>13</v>
      </c>
      <c r="G34" s="40">
        <v>1.55</v>
      </c>
      <c r="H34" s="40">
        <v>1.55</v>
      </c>
      <c r="I34" s="40">
        <v>1.55</v>
      </c>
      <c r="J34" s="40">
        <v>1.55</v>
      </c>
      <c r="K34" s="40" t="s">
        <v>13</v>
      </c>
      <c r="L34" s="40" t="s">
        <v>13</v>
      </c>
      <c r="M34" s="40" t="s">
        <v>13</v>
      </c>
    </row>
    <row r="35" spans="2:13" ht="13">
      <c r="B35" s="14" t="s">
        <v>153</v>
      </c>
      <c r="C35" s="45">
        <v>18.52</v>
      </c>
      <c r="D35" s="40">
        <v>18.05</v>
      </c>
      <c r="E35" s="40">
        <v>17.67</v>
      </c>
      <c r="F35" s="40">
        <v>17.67</v>
      </c>
      <c r="G35" s="40">
        <v>15.95</v>
      </c>
      <c r="H35" s="40">
        <v>12.15</v>
      </c>
      <c r="I35" s="40">
        <v>12.02</v>
      </c>
      <c r="J35" s="40">
        <v>11.98</v>
      </c>
      <c r="K35" s="40">
        <v>11.83</v>
      </c>
      <c r="L35" s="40">
        <v>9.22</v>
      </c>
      <c r="M35" s="40">
        <v>9.49</v>
      </c>
    </row>
    <row r="36" spans="2:13" ht="13">
      <c r="B36" s="11" t="s">
        <v>58</v>
      </c>
      <c r="C36" s="37">
        <v>3.84</v>
      </c>
      <c r="D36" s="38">
        <v>3.11</v>
      </c>
      <c r="E36" s="38">
        <v>3.8</v>
      </c>
      <c r="F36" s="38">
        <v>3.8</v>
      </c>
      <c r="G36" s="38">
        <v>3.8</v>
      </c>
      <c r="H36" s="38">
        <v>3.8</v>
      </c>
      <c r="I36" s="38">
        <v>3.8</v>
      </c>
      <c r="J36" s="38">
        <v>3.8</v>
      </c>
      <c r="K36" s="38">
        <v>3.8</v>
      </c>
      <c r="L36" s="38">
        <v>3.8</v>
      </c>
      <c r="M36" s="38">
        <v>3.7</v>
      </c>
    </row>
    <row r="37" spans="2:13" ht="13">
      <c r="B37" s="14" t="s">
        <v>154</v>
      </c>
      <c r="C37" s="40" t="s">
        <v>13</v>
      </c>
      <c r="D37" s="40" t="s">
        <v>13</v>
      </c>
      <c r="E37" s="40" t="s">
        <v>13</v>
      </c>
      <c r="F37" s="40" t="s">
        <v>13</v>
      </c>
      <c r="G37" s="40" t="s">
        <v>13</v>
      </c>
      <c r="H37" s="40" t="s">
        <v>13</v>
      </c>
      <c r="I37" s="40" t="s">
        <v>13</v>
      </c>
      <c r="J37" s="40" t="s">
        <v>13</v>
      </c>
      <c r="K37" s="40" t="s">
        <v>13</v>
      </c>
      <c r="L37" s="40" t="s">
        <v>13</v>
      </c>
      <c r="M37" s="40" t="s">
        <v>13</v>
      </c>
    </row>
    <row r="38" spans="2:13" ht="13">
      <c r="B38" s="14" t="s">
        <v>77</v>
      </c>
      <c r="C38" s="45" t="s">
        <v>13</v>
      </c>
      <c r="D38" s="40">
        <v>3.52</v>
      </c>
      <c r="E38" s="40">
        <v>2.364</v>
      </c>
      <c r="F38" s="40">
        <v>2.36</v>
      </c>
      <c r="G38" s="40">
        <v>2.364</v>
      </c>
      <c r="H38" s="40">
        <v>2.389</v>
      </c>
      <c r="I38" s="40">
        <v>2.4</v>
      </c>
      <c r="J38" s="40">
        <v>2.389</v>
      </c>
      <c r="K38" s="40">
        <v>1.39</v>
      </c>
      <c r="L38" s="40">
        <v>1.392</v>
      </c>
      <c r="M38" s="40">
        <v>1.392</v>
      </c>
    </row>
    <row r="39" spans="2:13" ht="13">
      <c r="B39" s="14" t="s">
        <v>64</v>
      </c>
      <c r="C39" s="45" t="s">
        <v>13</v>
      </c>
      <c r="D39" s="40">
        <v>48</v>
      </c>
      <c r="E39" s="40">
        <v>45</v>
      </c>
      <c r="F39" s="40">
        <v>56</v>
      </c>
      <c r="G39" s="40">
        <v>59</v>
      </c>
      <c r="H39" s="40">
        <v>48</v>
      </c>
      <c r="I39" s="40" t="s">
        <v>13</v>
      </c>
      <c r="J39" s="40">
        <v>30</v>
      </c>
      <c r="K39" s="40">
        <v>28</v>
      </c>
      <c r="L39" s="40">
        <v>21</v>
      </c>
      <c r="M39" s="40" t="s">
        <v>13</v>
      </c>
    </row>
    <row r="40" spans="2:13" ht="13">
      <c r="B40" s="14" t="s">
        <v>92</v>
      </c>
      <c r="C40" s="45">
        <v>133.86</v>
      </c>
      <c r="D40" s="40">
        <v>159.29</v>
      </c>
      <c r="E40" s="40">
        <v>165.864</v>
      </c>
      <c r="F40" s="40">
        <v>168</v>
      </c>
      <c r="G40" s="40">
        <v>170</v>
      </c>
      <c r="H40" s="40">
        <v>168</v>
      </c>
      <c r="I40" s="40">
        <v>159</v>
      </c>
      <c r="J40" s="40">
        <v>220</v>
      </c>
      <c r="K40" s="40">
        <v>220</v>
      </c>
      <c r="L40" s="40" t="s">
        <v>13</v>
      </c>
      <c r="M40" s="40" t="s">
        <v>13</v>
      </c>
    </row>
    <row r="41" spans="2:13" ht="13">
      <c r="B41" s="17" t="s">
        <v>157</v>
      </c>
      <c r="C41" s="41">
        <v>302</v>
      </c>
      <c r="D41" s="42">
        <v>259</v>
      </c>
      <c r="E41" s="42">
        <v>236</v>
      </c>
      <c r="F41" s="42">
        <v>229</v>
      </c>
      <c r="G41" s="42">
        <v>198</v>
      </c>
      <c r="H41" s="42">
        <v>196</v>
      </c>
      <c r="I41" s="42">
        <v>190</v>
      </c>
      <c r="J41" s="42">
        <v>178</v>
      </c>
      <c r="K41" s="42">
        <v>168</v>
      </c>
      <c r="L41" s="42" t="s">
        <v>13</v>
      </c>
      <c r="M41" s="42" t="s">
        <v>13</v>
      </c>
    </row>
    <row r="42" spans="2:13" ht="13">
      <c r="B42" s="227" t="s">
        <v>71</v>
      </c>
      <c r="C42" s="230" t="s">
        <v>13</v>
      </c>
      <c r="D42" s="231" t="s">
        <v>13</v>
      </c>
      <c r="E42" s="231" t="s">
        <v>13</v>
      </c>
      <c r="F42" s="231" t="s">
        <v>13</v>
      </c>
      <c r="G42" s="231" t="s">
        <v>13</v>
      </c>
      <c r="H42" s="231">
        <v>1.32</v>
      </c>
      <c r="I42" s="231">
        <v>0.828</v>
      </c>
      <c r="J42" s="231">
        <v>0.848</v>
      </c>
      <c r="K42" s="231">
        <v>0.848</v>
      </c>
      <c r="L42" s="231">
        <v>0.763</v>
      </c>
      <c r="M42" s="231" t="s">
        <v>13</v>
      </c>
    </row>
    <row r="44" ht="15" customHeight="1">
      <c r="B44" s="1" t="s">
        <v>50</v>
      </c>
    </row>
    <row r="45" ht="15" customHeight="1">
      <c r="B45" s="1" t="s">
        <v>106</v>
      </c>
    </row>
    <row r="46" ht="15" customHeight="1">
      <c r="B46" s="1" t="s">
        <v>105</v>
      </c>
    </row>
    <row r="47" ht="13">
      <c r="B47" s="32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2:T152"/>
  <sheetViews>
    <sheetView showGridLines="0" zoomScale="70" zoomScaleNormal="70" workbookViewId="0" topLeftCell="A1">
      <selection activeCell="AC47" sqref="AC47"/>
    </sheetView>
  </sheetViews>
  <sheetFormatPr defaultColWidth="9.28125" defaultRowHeight="15"/>
  <cols>
    <col min="1" max="1" width="9.28125" style="46" customWidth="1"/>
    <col min="2" max="2" width="16.7109375" style="46" customWidth="1"/>
    <col min="3" max="5" width="9.7109375" style="46" customWidth="1"/>
    <col min="6" max="6" width="13.7109375" style="46" customWidth="1"/>
    <col min="7" max="7" width="9.00390625" style="46" customWidth="1"/>
    <col min="8" max="16384" width="9.28125" style="46" customWidth="1"/>
  </cols>
  <sheetData>
    <row r="1" ht="12.75"/>
    <row r="2" ht="12.75">
      <c r="G2" s="4" t="s">
        <v>158</v>
      </c>
    </row>
    <row r="3" ht="12.75">
      <c r="G3" s="50" t="s">
        <v>75</v>
      </c>
    </row>
    <row r="4" ht="12.75">
      <c r="G4" s="50"/>
    </row>
    <row r="5" spans="6:20" ht="12.75">
      <c r="F5" s="47"/>
      <c r="G5" s="4" t="s">
        <v>247</v>
      </c>
      <c r="H5" s="48"/>
      <c r="I5" s="48"/>
      <c r="J5" s="48"/>
      <c r="K5" s="48"/>
      <c r="L5" s="48"/>
      <c r="M5" s="48"/>
      <c r="N5" s="48"/>
      <c r="O5" s="47"/>
      <c r="P5" s="47"/>
      <c r="Q5" s="47"/>
      <c r="R5" s="47"/>
      <c r="S5" s="47"/>
      <c r="T5" s="47"/>
    </row>
    <row r="6" spans="6:20" ht="12.75">
      <c r="F6" s="49"/>
      <c r="G6" s="50" t="s">
        <v>75</v>
      </c>
      <c r="H6" s="48"/>
      <c r="I6" s="48"/>
      <c r="J6" s="48"/>
      <c r="K6" s="48"/>
      <c r="L6" s="48"/>
      <c r="M6" s="48"/>
      <c r="N6" s="48"/>
      <c r="O6" s="49"/>
      <c r="P6" s="49"/>
      <c r="Q6" s="49"/>
      <c r="R6" s="49"/>
      <c r="S6" s="49"/>
      <c r="T6" s="49"/>
    </row>
    <row r="7" spans="2:20" ht="12.75">
      <c r="B7" s="51"/>
      <c r="C7" s="51"/>
      <c r="D7" s="51"/>
      <c r="E7" s="51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2:5" s="54" customFormat="1" ht="18" customHeight="1">
      <c r="B8" s="52"/>
      <c r="C8" s="53">
        <v>2022</v>
      </c>
      <c r="D8" s="51"/>
      <c r="E8" s="51"/>
    </row>
    <row r="9" spans="2:6" ht="12.75" customHeight="1">
      <c r="B9" s="55" t="s">
        <v>4</v>
      </c>
      <c r="C9" s="56">
        <v>25337</v>
      </c>
      <c r="D9" s="51"/>
      <c r="E9" s="51"/>
      <c r="F9" s="54"/>
    </row>
    <row r="10" spans="2:5" ht="12.75" customHeight="1">
      <c r="B10" s="57" t="s">
        <v>7</v>
      </c>
      <c r="C10" s="58">
        <v>7164</v>
      </c>
      <c r="D10" s="51"/>
      <c r="E10" s="51"/>
    </row>
    <row r="11" spans="2:5" ht="12.75" customHeight="1">
      <c r="B11" s="57" t="s">
        <v>27</v>
      </c>
      <c r="C11" s="58">
        <v>4227</v>
      </c>
      <c r="D11" s="59"/>
      <c r="E11" s="51"/>
    </row>
    <row r="12" spans="2:5" ht="12.75" customHeight="1">
      <c r="B12" s="57" t="s">
        <v>36</v>
      </c>
      <c r="C12" s="58">
        <v>3492</v>
      </c>
      <c r="D12" s="59"/>
      <c r="E12" s="51"/>
    </row>
    <row r="13" spans="2:5" ht="12.75" customHeight="1">
      <c r="B13" s="57" t="s">
        <v>56</v>
      </c>
      <c r="C13" s="58">
        <v>2897</v>
      </c>
      <c r="D13" s="59"/>
      <c r="E13" s="51"/>
    </row>
    <row r="14" spans="2:5" ht="12.75" customHeight="1">
      <c r="B14" s="57" t="s">
        <v>8</v>
      </c>
      <c r="C14" s="58">
        <v>2281</v>
      </c>
      <c r="D14" s="59"/>
      <c r="E14" s="51"/>
    </row>
    <row r="15" spans="2:5" ht="11.65" customHeight="1">
      <c r="B15" s="57" t="s">
        <v>24</v>
      </c>
      <c r="C15" s="58">
        <v>2059</v>
      </c>
      <c r="D15" s="60"/>
      <c r="E15" s="60"/>
    </row>
    <row r="16" spans="2:5" ht="12.75" customHeight="1">
      <c r="B16" s="57" t="s">
        <v>6</v>
      </c>
      <c r="C16" s="58">
        <v>2003</v>
      </c>
      <c r="D16" s="51"/>
      <c r="E16" s="51"/>
    </row>
    <row r="17" spans="2:5" ht="12.75" customHeight="1">
      <c r="B17" s="57" t="s">
        <v>33</v>
      </c>
      <c r="C17" s="58">
        <v>1821</v>
      </c>
      <c r="D17" s="59"/>
      <c r="E17" s="51"/>
    </row>
    <row r="18" spans="2:5" ht="12.75" customHeight="1">
      <c r="B18" s="57"/>
      <c r="C18" s="58"/>
      <c r="D18" s="59"/>
      <c r="E18" s="51"/>
    </row>
    <row r="19" spans="2:5" ht="12.75" customHeight="1">
      <c r="B19" s="57" t="s">
        <v>91</v>
      </c>
      <c r="C19" s="58">
        <v>7497</v>
      </c>
      <c r="D19" s="59"/>
      <c r="E19" s="51"/>
    </row>
    <row r="20" spans="2:5" ht="12.75" customHeight="1">
      <c r="B20" s="57"/>
      <c r="C20" s="58"/>
      <c r="D20" s="59"/>
      <c r="E20" s="51"/>
    </row>
    <row r="21" spans="2:5" ht="12.75" customHeight="1">
      <c r="B21" s="57" t="s">
        <v>160</v>
      </c>
      <c r="C21" s="58">
        <v>3826</v>
      </c>
      <c r="D21" s="59"/>
      <c r="E21" s="51"/>
    </row>
    <row r="22" spans="2:5" ht="12.75" customHeight="1">
      <c r="B22" s="57"/>
      <c r="C22" s="58"/>
      <c r="D22" s="59"/>
      <c r="E22" s="51"/>
    </row>
    <row r="23" spans="2:5" ht="12.75" customHeight="1">
      <c r="B23" s="57"/>
      <c r="C23" s="58"/>
      <c r="D23" s="59"/>
      <c r="E23" s="51"/>
    </row>
    <row r="24" spans="2:5" ht="12.75" customHeight="1">
      <c r="B24" s="57"/>
      <c r="C24" s="58"/>
      <c r="D24" s="59"/>
      <c r="E24" s="51"/>
    </row>
    <row r="25" spans="2:5" ht="12.75" customHeight="1">
      <c r="B25" s="57" t="s">
        <v>34</v>
      </c>
      <c r="C25" s="58">
        <v>1011</v>
      </c>
      <c r="D25" s="59"/>
      <c r="E25" s="51"/>
    </row>
    <row r="26" spans="2:5" ht="12.75" customHeight="1">
      <c r="B26" s="57" t="s">
        <v>9</v>
      </c>
      <c r="C26" s="58">
        <v>738</v>
      </c>
      <c r="D26" s="59"/>
      <c r="E26" s="51"/>
    </row>
    <row r="27" spans="2:5" ht="12.75" customHeight="1">
      <c r="B27" s="57" t="s">
        <v>5</v>
      </c>
      <c r="C27" s="58">
        <v>491</v>
      </c>
      <c r="D27" s="59"/>
      <c r="E27" s="51"/>
    </row>
    <row r="28" spans="2:5" ht="12.75" customHeight="1">
      <c r="B28" s="57" t="s">
        <v>35</v>
      </c>
      <c r="C28" s="58">
        <v>432</v>
      </c>
      <c r="D28" s="62"/>
      <c r="E28" s="51"/>
    </row>
    <row r="29" spans="2:5" ht="12.75" customHeight="1">
      <c r="B29" s="61" t="s">
        <v>159</v>
      </c>
      <c r="C29" s="58">
        <v>426</v>
      </c>
      <c r="D29" s="59"/>
      <c r="E29" s="51"/>
    </row>
    <row r="30" spans="2:5" ht="12.75" customHeight="1">
      <c r="B30" s="57" t="s">
        <v>26</v>
      </c>
      <c r="C30" s="63">
        <v>319</v>
      </c>
      <c r="D30" s="59"/>
      <c r="E30" s="51"/>
    </row>
    <row r="31" spans="2:5" ht="12.75" customHeight="1">
      <c r="B31" s="57" t="s">
        <v>31</v>
      </c>
      <c r="C31" s="58">
        <v>255</v>
      </c>
      <c r="D31" s="59"/>
      <c r="E31" s="51"/>
    </row>
    <row r="32" spans="2:5" ht="12.75" customHeight="1">
      <c r="B32" s="57" t="s">
        <v>30</v>
      </c>
      <c r="C32" s="58">
        <v>154</v>
      </c>
      <c r="D32" s="59"/>
      <c r="E32" s="51"/>
    </row>
    <row r="33" spans="2:5" ht="12.75" customHeight="1">
      <c r="B33" s="57" t="s">
        <v>3</v>
      </c>
      <c r="C33" s="58">
        <v>98</v>
      </c>
      <c r="D33" s="59"/>
      <c r="E33" s="51"/>
    </row>
    <row r="34" spans="2:5" ht="12.75" customHeight="1">
      <c r="B34" s="61"/>
      <c r="C34" s="58"/>
      <c r="D34" s="59"/>
      <c r="E34" s="51"/>
    </row>
    <row r="35" spans="2:5" ht="12.75" customHeight="1">
      <c r="B35" s="57" t="s">
        <v>93</v>
      </c>
      <c r="C35" s="58">
        <v>857</v>
      </c>
      <c r="D35" s="59"/>
      <c r="E35" s="51"/>
    </row>
    <row r="36" spans="2:7" ht="12" customHeight="1">
      <c r="B36" s="57" t="s">
        <v>161</v>
      </c>
      <c r="C36" s="58">
        <v>397</v>
      </c>
      <c r="D36" s="59"/>
      <c r="E36" s="51"/>
      <c r="G36" s="64"/>
    </row>
    <row r="37" spans="2:7" ht="12" customHeight="1">
      <c r="B37" s="57" t="s">
        <v>153</v>
      </c>
      <c r="C37" s="58">
        <v>220</v>
      </c>
      <c r="D37" s="65"/>
      <c r="E37" s="65"/>
      <c r="G37" s="66"/>
    </row>
    <row r="38" spans="2:7" ht="14.65" customHeight="1">
      <c r="B38" s="57" t="s">
        <v>78</v>
      </c>
      <c r="C38" s="58">
        <v>187</v>
      </c>
      <c r="D38" s="65"/>
      <c r="E38" s="65"/>
      <c r="G38" s="66"/>
    </row>
    <row r="39" spans="2:5" ht="12.75">
      <c r="B39" s="57" t="s">
        <v>154</v>
      </c>
      <c r="C39" s="58">
        <v>116</v>
      </c>
      <c r="D39" s="60"/>
      <c r="E39" s="51"/>
    </row>
    <row r="40" spans="2:5" ht="12.75" customHeight="1">
      <c r="B40" s="57" t="s">
        <v>58</v>
      </c>
      <c r="C40" s="58">
        <v>65</v>
      </c>
      <c r="D40" s="59"/>
      <c r="E40" s="51"/>
    </row>
    <row r="41" spans="2:5" ht="12.75" customHeight="1">
      <c r="B41" s="57" t="s">
        <v>163</v>
      </c>
      <c r="C41" s="58">
        <v>54</v>
      </c>
      <c r="D41" s="59"/>
      <c r="E41" s="51"/>
    </row>
    <row r="42" spans="2:5" ht="12.75" customHeight="1">
      <c r="B42" s="57" t="s">
        <v>77</v>
      </c>
      <c r="C42" s="58">
        <v>18</v>
      </c>
      <c r="D42" s="59"/>
      <c r="E42" s="51"/>
    </row>
    <row r="43" spans="2:3" ht="12.75">
      <c r="B43" s="57"/>
      <c r="C43" s="58"/>
    </row>
    <row r="44" spans="2:3" ht="12.75">
      <c r="B44" s="57" t="s">
        <v>162</v>
      </c>
      <c r="C44" s="58">
        <v>6</v>
      </c>
    </row>
    <row r="45" spans="2:3" ht="12.75">
      <c r="B45" s="57"/>
      <c r="C45" s="58"/>
    </row>
    <row r="46" ht="12.75"/>
    <row r="47" ht="12.75"/>
    <row r="48" ht="12.75"/>
    <row r="49" spans="4:9" ht="12.75" customHeight="1">
      <c r="D49" s="59"/>
      <c r="E49" s="51"/>
      <c r="H49" s="223" t="s">
        <v>141</v>
      </c>
      <c r="I49" s="48"/>
    </row>
    <row r="50" spans="4:9" ht="12.75" customHeight="1">
      <c r="D50" s="59"/>
      <c r="E50" s="51"/>
      <c r="H50" s="1" t="s">
        <v>155</v>
      </c>
      <c r="I50" s="48"/>
    </row>
    <row r="51" spans="4:9" ht="12.75" customHeight="1">
      <c r="D51" s="59"/>
      <c r="E51" s="51"/>
      <c r="H51" s="1" t="s">
        <v>164</v>
      </c>
      <c r="I51" s="48"/>
    </row>
    <row r="52" spans="4:9" ht="12.75" customHeight="1">
      <c r="D52" s="59"/>
      <c r="E52" s="51"/>
      <c r="H52" s="1" t="s">
        <v>165</v>
      </c>
      <c r="I52" s="48"/>
    </row>
    <row r="53" spans="4:9" ht="12.75" customHeight="1">
      <c r="D53" s="59"/>
      <c r="E53" s="51"/>
      <c r="H53" s="224" t="s">
        <v>255</v>
      </c>
      <c r="I53" s="48"/>
    </row>
    <row r="54" spans="4:9" ht="12.75" customHeight="1">
      <c r="D54" s="59"/>
      <c r="E54" s="51"/>
      <c r="H54" s="224" t="s">
        <v>72</v>
      </c>
      <c r="I54" s="48"/>
    </row>
    <row r="55" spans="4:9" ht="12.75" customHeight="1">
      <c r="D55" s="59"/>
      <c r="E55" s="51"/>
      <c r="H55" s="225" t="s">
        <v>256</v>
      </c>
      <c r="I55" s="48"/>
    </row>
    <row r="56" spans="4:5" ht="12.75" customHeight="1">
      <c r="D56" s="59"/>
      <c r="E56" s="51"/>
    </row>
    <row r="57" spans="4:5" ht="12.75" customHeight="1">
      <c r="D57" s="59"/>
      <c r="E57" s="51"/>
    </row>
    <row r="58" spans="4:5" ht="12.75" customHeight="1">
      <c r="D58" s="59"/>
      <c r="E58" s="51"/>
    </row>
    <row r="59" spans="4:5" ht="12.75" customHeight="1">
      <c r="D59" s="59"/>
      <c r="E59" s="51"/>
    </row>
    <row r="60" spans="4:5" ht="12.75" customHeight="1">
      <c r="D60" s="59"/>
      <c r="E60" s="51"/>
    </row>
    <row r="61" spans="4:5" ht="12.75" customHeight="1">
      <c r="D61" s="59"/>
      <c r="E61" s="51"/>
    </row>
    <row r="62" spans="4:5" ht="12.75" customHeight="1">
      <c r="D62" s="59"/>
      <c r="E62" s="51"/>
    </row>
    <row r="63" spans="4:5" ht="12.75" customHeight="1">
      <c r="D63" s="59"/>
      <c r="E63" s="51"/>
    </row>
    <row r="64" spans="4:5" ht="12.75" customHeight="1">
      <c r="D64" s="59"/>
      <c r="E64" s="51"/>
    </row>
    <row r="65" spans="4:5" ht="12.75" customHeight="1">
      <c r="D65" s="59"/>
      <c r="E65" s="51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>
      <c r="C116" s="46">
        <v>2020</v>
      </c>
    </row>
    <row r="117" spans="2:3" ht="12.75">
      <c r="B117" s="46" t="s">
        <v>57</v>
      </c>
      <c r="C117" s="46">
        <v>5.295685576891173</v>
      </c>
    </row>
    <row r="118" spans="2:3" ht="12.75">
      <c r="B118" s="46" t="s">
        <v>32</v>
      </c>
      <c r="C118" s="46">
        <v>5.853055831749446</v>
      </c>
    </row>
    <row r="119" ht="12.75"/>
    <row r="120" spans="2:3" ht="12.75">
      <c r="B120" s="46" t="s">
        <v>37</v>
      </c>
      <c r="C120" s="46">
        <v>29.09208811548946</v>
      </c>
    </row>
    <row r="121" spans="2:3" ht="12.75">
      <c r="B121" s="46" t="s">
        <v>80</v>
      </c>
      <c r="C121" s="46">
        <v>3.721675224949357</v>
      </c>
    </row>
    <row r="122" ht="12.75"/>
    <row r="123" spans="2:3" ht="12.75">
      <c r="B123" s="46" t="s">
        <v>28</v>
      </c>
      <c r="C123" s="46">
        <v>8.698861088138118</v>
      </c>
    </row>
    <row r="124" spans="2:3" ht="12.75">
      <c r="B124" s="46" t="s">
        <v>7</v>
      </c>
      <c r="C124" s="46">
        <v>8.061415112015952</v>
      </c>
    </row>
    <row r="125" spans="2:3" ht="12.75">
      <c r="B125" s="46" t="s">
        <v>36</v>
      </c>
      <c r="C125" s="46">
        <v>3.142706278572855</v>
      </c>
    </row>
    <row r="126" spans="2:3" ht="12.75">
      <c r="B126" s="46" t="s">
        <v>8</v>
      </c>
      <c r="C126" s="46">
        <v>1.3993171454541289</v>
      </c>
    </row>
    <row r="127" spans="2:3" ht="12.75">
      <c r="B127" s="46" t="s">
        <v>35</v>
      </c>
      <c r="C127" s="46">
        <v>3.2220403124077404</v>
      </c>
    </row>
    <row r="128" spans="2:3" ht="12.75">
      <c r="B128" s="46" t="s">
        <v>4</v>
      </c>
      <c r="C128" s="46">
        <v>1.5915552230431123</v>
      </c>
    </row>
    <row r="129" spans="2:3" ht="12.75">
      <c r="B129" s="46" t="s">
        <v>33</v>
      </c>
      <c r="C129" s="46">
        <v>2.1714144979886707</v>
      </c>
    </row>
    <row r="130" spans="2:3" ht="12.75">
      <c r="B130" s="46" t="s">
        <v>10</v>
      </c>
      <c r="C130" s="46">
        <v>1.6074021824820546</v>
      </c>
    </row>
    <row r="131" ht="12.75"/>
    <row r="132" spans="2:3" ht="12.75">
      <c r="B132" s="46" t="s">
        <v>42</v>
      </c>
      <c r="C132" s="46">
        <v>2.8664142779881017</v>
      </c>
    </row>
    <row r="133" spans="2:3" ht="12.75">
      <c r="B133" s="46" t="s">
        <v>38</v>
      </c>
      <c r="C133" s="46">
        <v>2.060485211033566</v>
      </c>
    </row>
    <row r="134" ht="12.75"/>
    <row r="135" spans="2:3" ht="12.75">
      <c r="B135" s="46" t="s">
        <v>3</v>
      </c>
      <c r="C135" s="46">
        <v>0.3270086315069014</v>
      </c>
    </row>
    <row r="136" spans="2:3" ht="12.75">
      <c r="B136" s="46" t="s">
        <v>5</v>
      </c>
      <c r="C136" s="46">
        <v>1.709280168368363</v>
      </c>
    </row>
    <row r="137" spans="2:3" ht="12.75">
      <c r="B137" s="46" t="s">
        <v>25</v>
      </c>
      <c r="C137" s="46">
        <v>6.983329314113684</v>
      </c>
    </row>
    <row r="138" spans="2:3" ht="12.75">
      <c r="B138" s="46" t="s">
        <v>23</v>
      </c>
      <c r="C138" s="46">
        <v>1.422634070390879</v>
      </c>
    </row>
    <row r="139" spans="2:3" ht="12.75">
      <c r="B139" s="46" t="s">
        <v>41</v>
      </c>
      <c r="C139" s="46">
        <v>3.4984709480122325</v>
      </c>
    </row>
    <row r="140" spans="2:3" ht="12.75">
      <c r="B140" s="46" t="s">
        <v>29</v>
      </c>
      <c r="C140" s="46">
        <v>0.8030258946755893</v>
      </c>
    </row>
    <row r="141" spans="2:3" ht="12.75">
      <c r="B141" s="46" t="s">
        <v>27</v>
      </c>
      <c r="C141" s="46">
        <v>2.383071370716992</v>
      </c>
    </row>
    <row r="142" spans="2:3" ht="12.75">
      <c r="B142" s="46" t="s">
        <v>6</v>
      </c>
      <c r="C142" s="46">
        <v>4.985258825241766</v>
      </c>
    </row>
    <row r="143" spans="2:3" ht="12.75">
      <c r="B143" s="46" t="s">
        <v>30</v>
      </c>
      <c r="C143" s="46">
        <v>2.0674813619245254</v>
      </c>
    </row>
    <row r="144" spans="2:3" ht="12.75">
      <c r="B144" s="46" t="s">
        <v>40</v>
      </c>
      <c r="C144" s="46">
        <v>0.03809233582203261</v>
      </c>
    </row>
    <row r="145" ht="12.75">
      <c r="B145" s="46" t="s">
        <v>24</v>
      </c>
    </row>
    <row r="146" spans="2:3" ht="12.75">
      <c r="B146" s="46" t="s">
        <v>34</v>
      </c>
      <c r="C146" s="46">
        <v>27.461973765987373</v>
      </c>
    </row>
    <row r="147" ht="12.75"/>
    <row r="148" spans="2:3" ht="12.75">
      <c r="B148" s="46" t="s">
        <v>39</v>
      </c>
      <c r="C148" s="46">
        <v>5.064657424914724</v>
      </c>
    </row>
    <row r="149" ht="12.75">
      <c r="B149" s="46" t="s">
        <v>77</v>
      </c>
    </row>
    <row r="150" spans="2:3" ht="12.75">
      <c r="B150" s="46" t="s">
        <v>78</v>
      </c>
      <c r="C150" s="46">
        <v>1.5883126774215883</v>
      </c>
    </row>
    <row r="151" spans="2:3" ht="12.75">
      <c r="B151" s="46" t="s">
        <v>79</v>
      </c>
      <c r="C151" s="46">
        <v>0.0310077519379845</v>
      </c>
    </row>
    <row r="152" spans="2:3" ht="12.75">
      <c r="B152" s="46" t="s">
        <v>65</v>
      </c>
      <c r="C152" s="46">
        <v>0.0203210729526519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2:X54"/>
  <sheetViews>
    <sheetView showGridLines="0" workbookViewId="0" topLeftCell="A21">
      <selection activeCell="B2" sqref="B2:M54"/>
    </sheetView>
  </sheetViews>
  <sheetFormatPr defaultColWidth="9.28125" defaultRowHeight="15"/>
  <cols>
    <col min="1" max="1" width="9.28125" style="3" customWidth="1"/>
    <col min="2" max="2" width="23.28125" style="3" customWidth="1"/>
    <col min="3" max="13" width="8.7109375" style="3" customWidth="1"/>
    <col min="14" max="14" width="11.00390625" style="3" bestFit="1" customWidth="1"/>
    <col min="15" max="16" width="9.28125" style="3" customWidth="1"/>
    <col min="17" max="24" width="9.28125" style="67" customWidth="1"/>
    <col min="25" max="16384" width="9.28125" style="3" customWidth="1"/>
  </cols>
  <sheetData>
    <row r="2" ht="13">
      <c r="B2" s="4" t="s">
        <v>166</v>
      </c>
    </row>
    <row r="3" ht="15">
      <c r="B3" s="1" t="s">
        <v>74</v>
      </c>
    </row>
    <row r="4" spans="5:13" ht="15">
      <c r="E4" s="67"/>
      <c r="F4" s="204"/>
      <c r="G4" s="204"/>
      <c r="H4" s="204"/>
      <c r="I4" s="204"/>
      <c r="J4" s="204"/>
      <c r="K4" s="204"/>
      <c r="L4" s="67"/>
      <c r="M4" s="67"/>
    </row>
    <row r="5" spans="2:23" ht="13">
      <c r="B5" s="221"/>
      <c r="C5" s="68">
        <v>2012</v>
      </c>
      <c r="D5" s="221">
        <v>2013</v>
      </c>
      <c r="E5" s="221">
        <v>2014</v>
      </c>
      <c r="F5" s="221">
        <v>2015</v>
      </c>
      <c r="G5" s="221">
        <v>2016</v>
      </c>
      <c r="H5" s="221">
        <v>2017</v>
      </c>
      <c r="I5" s="221">
        <v>2018</v>
      </c>
      <c r="J5" s="221">
        <v>2019</v>
      </c>
      <c r="K5" s="221">
        <v>2020</v>
      </c>
      <c r="L5" s="221">
        <v>2021</v>
      </c>
      <c r="M5" s="221">
        <v>2022</v>
      </c>
      <c r="O5" s="69"/>
      <c r="Q5" s="69"/>
      <c r="R5" s="3"/>
      <c r="S5" s="69"/>
      <c r="T5" s="3"/>
      <c r="U5" s="69"/>
      <c r="V5" s="3"/>
      <c r="W5" s="69"/>
    </row>
    <row r="6" spans="2:16" ht="13">
      <c r="B6" s="70" t="s">
        <v>89</v>
      </c>
      <c r="C6" s="71">
        <v>490</v>
      </c>
      <c r="D6" s="72">
        <v>501</v>
      </c>
      <c r="E6" s="72">
        <v>506</v>
      </c>
      <c r="F6" s="73">
        <v>507</v>
      </c>
      <c r="G6" s="73">
        <v>519</v>
      </c>
      <c r="H6" s="73">
        <v>529</v>
      </c>
      <c r="I6" s="73">
        <v>539</v>
      </c>
      <c r="J6" s="73">
        <v>548</v>
      </c>
      <c r="K6" s="73">
        <v>554</v>
      </c>
      <c r="L6" s="73">
        <v>560</v>
      </c>
      <c r="M6" s="73">
        <v>560</v>
      </c>
      <c r="N6" s="205"/>
      <c r="O6" s="22"/>
      <c r="P6" s="67"/>
    </row>
    <row r="7" spans="2:16" ht="13">
      <c r="B7" s="28" t="s">
        <v>23</v>
      </c>
      <c r="C7" s="148">
        <v>489</v>
      </c>
      <c r="D7" s="149">
        <v>491</v>
      </c>
      <c r="E7" s="149">
        <v>494</v>
      </c>
      <c r="F7" s="149">
        <v>497</v>
      </c>
      <c r="G7" s="149">
        <v>503</v>
      </c>
      <c r="H7" s="149">
        <v>508</v>
      </c>
      <c r="I7" s="149">
        <v>511</v>
      </c>
      <c r="J7" s="149">
        <v>511</v>
      </c>
      <c r="K7" s="149">
        <v>510</v>
      </c>
      <c r="L7" s="149">
        <v>510</v>
      </c>
      <c r="M7" s="149">
        <v>508</v>
      </c>
      <c r="N7" s="205"/>
      <c r="O7" s="22"/>
      <c r="P7" s="67"/>
    </row>
    <row r="8" spans="2:16" ht="13">
      <c r="B8" s="11" t="s">
        <v>1</v>
      </c>
      <c r="C8" s="150">
        <v>385</v>
      </c>
      <c r="D8" s="151">
        <v>402</v>
      </c>
      <c r="E8" s="151">
        <v>418</v>
      </c>
      <c r="F8" s="151">
        <v>442</v>
      </c>
      <c r="G8" s="151">
        <v>443</v>
      </c>
      <c r="H8" s="151">
        <v>393</v>
      </c>
      <c r="I8" s="151">
        <v>396</v>
      </c>
      <c r="J8" s="151">
        <v>407</v>
      </c>
      <c r="K8" s="151">
        <v>414</v>
      </c>
      <c r="L8" s="151">
        <v>414</v>
      </c>
      <c r="M8" s="151">
        <v>428</v>
      </c>
      <c r="N8" s="205"/>
      <c r="O8" s="22"/>
      <c r="P8" s="67"/>
    </row>
    <row r="9" spans="2:24" ht="13">
      <c r="B9" s="11" t="s">
        <v>56</v>
      </c>
      <c r="C9" s="150">
        <v>448</v>
      </c>
      <c r="D9" s="151">
        <v>450</v>
      </c>
      <c r="E9" s="151">
        <v>459</v>
      </c>
      <c r="F9" s="151">
        <v>485</v>
      </c>
      <c r="G9" s="151">
        <v>502</v>
      </c>
      <c r="H9" s="151">
        <v>522</v>
      </c>
      <c r="I9" s="151">
        <v>540</v>
      </c>
      <c r="J9" s="151">
        <v>554</v>
      </c>
      <c r="K9" s="151">
        <v>576</v>
      </c>
      <c r="L9" s="151">
        <v>579</v>
      </c>
      <c r="M9" s="151">
        <v>598</v>
      </c>
      <c r="N9" s="205"/>
      <c r="O9" s="22"/>
      <c r="P9" s="67"/>
      <c r="T9" s="3"/>
      <c r="U9" s="3"/>
      <c r="V9" s="3"/>
      <c r="W9" s="3"/>
      <c r="X9" s="3"/>
    </row>
    <row r="10" spans="2:16" ht="13">
      <c r="B10" s="11" t="s">
        <v>24</v>
      </c>
      <c r="C10" s="150">
        <v>399</v>
      </c>
      <c r="D10" s="151">
        <v>405</v>
      </c>
      <c r="E10" s="151">
        <v>410</v>
      </c>
      <c r="F10" s="151">
        <v>419</v>
      </c>
      <c r="G10" s="151">
        <v>429</v>
      </c>
      <c r="H10" s="151">
        <v>438</v>
      </c>
      <c r="I10" s="151">
        <v>447</v>
      </c>
      <c r="J10" s="151">
        <v>455</v>
      </c>
      <c r="K10" s="151">
        <v>466</v>
      </c>
      <c r="L10" s="151">
        <v>475</v>
      </c>
      <c r="M10" s="151">
        <v>474</v>
      </c>
      <c r="N10" s="205"/>
      <c r="O10" s="22"/>
      <c r="P10" s="67"/>
    </row>
    <row r="11" spans="2:16" ht="13">
      <c r="B11" s="11" t="s">
        <v>57</v>
      </c>
      <c r="C11" s="150">
        <v>539</v>
      </c>
      <c r="D11" s="151">
        <v>543</v>
      </c>
      <c r="E11" s="151">
        <v>547</v>
      </c>
      <c r="F11" s="151">
        <v>548</v>
      </c>
      <c r="G11" s="151">
        <v>555</v>
      </c>
      <c r="H11" s="151">
        <v>561</v>
      </c>
      <c r="I11" s="151">
        <v>567</v>
      </c>
      <c r="J11" s="151">
        <v>574</v>
      </c>
      <c r="K11" s="151">
        <v>580</v>
      </c>
      <c r="L11" s="151">
        <v>583</v>
      </c>
      <c r="M11" s="151">
        <v>585</v>
      </c>
      <c r="N11" s="205"/>
      <c r="O11" s="22"/>
      <c r="P11" s="67"/>
    </row>
    <row r="12" spans="2:16" ht="13">
      <c r="B12" s="11" t="s">
        <v>3</v>
      </c>
      <c r="C12" s="150">
        <v>456</v>
      </c>
      <c r="D12" s="151">
        <v>478</v>
      </c>
      <c r="E12" s="151">
        <v>497</v>
      </c>
      <c r="F12" s="151">
        <v>514</v>
      </c>
      <c r="G12" s="151">
        <v>534</v>
      </c>
      <c r="H12" s="151">
        <v>550</v>
      </c>
      <c r="I12" s="151">
        <v>563</v>
      </c>
      <c r="J12" s="151">
        <v>598</v>
      </c>
      <c r="K12" s="151">
        <v>608</v>
      </c>
      <c r="L12" s="151">
        <v>620</v>
      </c>
      <c r="M12" s="151">
        <v>637</v>
      </c>
      <c r="N12" s="205"/>
      <c r="O12" s="22"/>
      <c r="P12" s="67"/>
    </row>
    <row r="13" spans="2:16" ht="13">
      <c r="B13" s="11" t="s">
        <v>25</v>
      </c>
      <c r="C13" s="150">
        <v>426</v>
      </c>
      <c r="D13" s="151">
        <v>427</v>
      </c>
      <c r="E13" s="152">
        <v>431</v>
      </c>
      <c r="F13" s="152">
        <v>436</v>
      </c>
      <c r="G13" s="152">
        <v>439</v>
      </c>
      <c r="H13" s="152">
        <v>444</v>
      </c>
      <c r="I13" s="152">
        <v>445</v>
      </c>
      <c r="J13" s="152">
        <v>454</v>
      </c>
      <c r="K13" s="152">
        <v>458</v>
      </c>
      <c r="L13" s="152">
        <v>456</v>
      </c>
      <c r="M13" s="152">
        <v>457</v>
      </c>
      <c r="N13" s="205"/>
      <c r="O13" s="22"/>
      <c r="P13" s="67"/>
    </row>
    <row r="14" spans="2:16" ht="13">
      <c r="B14" s="11" t="s">
        <v>26</v>
      </c>
      <c r="C14" s="150">
        <v>470</v>
      </c>
      <c r="D14" s="151">
        <v>469</v>
      </c>
      <c r="E14" s="152">
        <v>471</v>
      </c>
      <c r="F14" s="152">
        <v>474</v>
      </c>
      <c r="G14" s="152">
        <v>479</v>
      </c>
      <c r="H14" s="152">
        <v>487</v>
      </c>
      <c r="I14" s="152">
        <v>493</v>
      </c>
      <c r="J14" s="152">
        <v>504</v>
      </c>
      <c r="K14" s="152">
        <v>514</v>
      </c>
      <c r="L14" s="152">
        <v>536</v>
      </c>
      <c r="M14" s="152">
        <v>543</v>
      </c>
      <c r="N14" s="205"/>
      <c r="O14" s="22"/>
      <c r="P14" s="67"/>
    </row>
    <row r="15" spans="2:16" ht="13">
      <c r="B15" s="11" t="s">
        <v>27</v>
      </c>
      <c r="C15" s="150">
        <v>476</v>
      </c>
      <c r="D15" s="151">
        <v>474</v>
      </c>
      <c r="E15" s="152">
        <v>474</v>
      </c>
      <c r="F15" s="152">
        <v>481</v>
      </c>
      <c r="G15" s="152">
        <v>516</v>
      </c>
      <c r="H15" s="152">
        <v>529</v>
      </c>
      <c r="I15" s="152">
        <v>539</v>
      </c>
      <c r="J15" s="152">
        <v>546</v>
      </c>
      <c r="K15" s="152">
        <v>549</v>
      </c>
      <c r="L15" s="152">
        <v>554</v>
      </c>
      <c r="M15" s="152">
        <v>560</v>
      </c>
      <c r="N15" s="205"/>
      <c r="O15" s="22"/>
      <c r="P15" s="67"/>
    </row>
    <row r="16" spans="2:16" ht="13">
      <c r="B16" s="11" t="s">
        <v>4</v>
      </c>
      <c r="C16" s="150">
        <v>542</v>
      </c>
      <c r="D16" s="151">
        <v>546</v>
      </c>
      <c r="E16" s="152">
        <v>551</v>
      </c>
      <c r="F16" s="152">
        <v>558</v>
      </c>
      <c r="G16" s="152">
        <v>564</v>
      </c>
      <c r="H16" s="152">
        <v>569</v>
      </c>
      <c r="I16" s="152">
        <v>569</v>
      </c>
      <c r="J16" s="152">
        <v>571</v>
      </c>
      <c r="K16" s="152">
        <v>569</v>
      </c>
      <c r="L16" s="152">
        <v>572</v>
      </c>
      <c r="M16" s="152">
        <v>571</v>
      </c>
      <c r="N16" s="205"/>
      <c r="O16" s="22"/>
      <c r="P16" s="67"/>
    </row>
    <row r="17" spans="2:16" ht="13">
      <c r="B17" s="11" t="s">
        <v>5</v>
      </c>
      <c r="C17" s="150">
        <v>339</v>
      </c>
      <c r="D17" s="151">
        <v>341</v>
      </c>
      <c r="E17" s="152">
        <v>349</v>
      </c>
      <c r="F17" s="152">
        <v>358</v>
      </c>
      <c r="G17" s="152">
        <v>374</v>
      </c>
      <c r="H17" s="152">
        <v>389</v>
      </c>
      <c r="I17" s="152">
        <v>409</v>
      </c>
      <c r="J17" s="152">
        <v>425</v>
      </c>
      <c r="K17" s="152">
        <v>433</v>
      </c>
      <c r="L17" s="152">
        <v>465</v>
      </c>
      <c r="M17" s="152">
        <v>491</v>
      </c>
      <c r="N17" s="205"/>
      <c r="O17" s="22"/>
      <c r="P17" s="67"/>
    </row>
    <row r="18" spans="2:16" ht="13">
      <c r="B18" s="11" t="s">
        <v>28</v>
      </c>
      <c r="C18" s="150">
        <v>621</v>
      </c>
      <c r="D18" s="151">
        <v>608</v>
      </c>
      <c r="E18" s="152">
        <v>610</v>
      </c>
      <c r="F18" s="152">
        <v>616</v>
      </c>
      <c r="G18" s="152">
        <v>625</v>
      </c>
      <c r="H18" s="152">
        <v>637</v>
      </c>
      <c r="I18" s="152">
        <v>652</v>
      </c>
      <c r="J18" s="152">
        <v>663</v>
      </c>
      <c r="K18" s="152">
        <v>671</v>
      </c>
      <c r="L18" s="152">
        <v>675</v>
      </c>
      <c r="M18" s="152">
        <v>684</v>
      </c>
      <c r="N18" s="205"/>
      <c r="O18" s="22"/>
      <c r="P18" s="67"/>
    </row>
    <row r="19" spans="2:16" ht="13">
      <c r="B19" s="11" t="s">
        <v>40</v>
      </c>
      <c r="C19" s="150">
        <v>549</v>
      </c>
      <c r="D19" s="151">
        <v>553</v>
      </c>
      <c r="E19" s="152">
        <v>565</v>
      </c>
      <c r="F19" s="152">
        <v>575</v>
      </c>
      <c r="G19" s="152">
        <v>595</v>
      </c>
      <c r="H19" s="152">
        <v>609</v>
      </c>
      <c r="I19" s="152">
        <v>629</v>
      </c>
      <c r="J19" s="152">
        <v>645</v>
      </c>
      <c r="K19" s="152">
        <v>645</v>
      </c>
      <c r="L19" s="152">
        <v>655</v>
      </c>
      <c r="M19" s="152">
        <v>658</v>
      </c>
      <c r="N19" s="205"/>
      <c r="O19" s="22"/>
      <c r="P19" s="67"/>
    </row>
    <row r="20" spans="2:16" ht="13">
      <c r="B20" s="11" t="s">
        <v>29</v>
      </c>
      <c r="C20" s="150">
        <v>305</v>
      </c>
      <c r="D20" s="151">
        <v>317</v>
      </c>
      <c r="E20" s="152">
        <v>331</v>
      </c>
      <c r="F20" s="152">
        <v>345</v>
      </c>
      <c r="G20" s="152">
        <v>341</v>
      </c>
      <c r="H20" s="152">
        <v>356</v>
      </c>
      <c r="I20" s="152">
        <v>369</v>
      </c>
      <c r="J20" s="152">
        <v>381</v>
      </c>
      <c r="K20" s="152">
        <v>390</v>
      </c>
      <c r="L20" s="152">
        <v>404</v>
      </c>
      <c r="M20" s="152">
        <v>414</v>
      </c>
      <c r="N20" s="205"/>
      <c r="O20" s="22"/>
      <c r="P20" s="67"/>
    </row>
    <row r="21" spans="2:16" ht="13.15" customHeight="1">
      <c r="B21" s="11" t="s">
        <v>237</v>
      </c>
      <c r="C21" s="150">
        <v>590</v>
      </c>
      <c r="D21" s="151">
        <v>615</v>
      </c>
      <c r="E21" s="152">
        <v>413</v>
      </c>
      <c r="F21" s="152">
        <v>431</v>
      </c>
      <c r="G21" s="152">
        <v>456</v>
      </c>
      <c r="H21" s="152">
        <v>483</v>
      </c>
      <c r="I21" s="152">
        <v>512</v>
      </c>
      <c r="J21" s="152">
        <v>536</v>
      </c>
      <c r="K21" s="152">
        <v>560</v>
      </c>
      <c r="L21" s="152">
        <v>574</v>
      </c>
      <c r="M21" s="152">
        <v>589</v>
      </c>
      <c r="N21" s="205"/>
      <c r="O21" s="22"/>
      <c r="P21" s="67"/>
    </row>
    <row r="22" spans="2:16" ht="13">
      <c r="B22" s="11" t="s">
        <v>31</v>
      </c>
      <c r="C22" s="150">
        <v>663</v>
      </c>
      <c r="D22" s="151">
        <v>661</v>
      </c>
      <c r="E22" s="152">
        <v>662</v>
      </c>
      <c r="F22" s="152">
        <v>661</v>
      </c>
      <c r="G22" s="152">
        <v>662</v>
      </c>
      <c r="H22" s="152">
        <v>670</v>
      </c>
      <c r="I22" s="152">
        <v>676</v>
      </c>
      <c r="J22" s="152">
        <v>681</v>
      </c>
      <c r="K22" s="152">
        <v>682</v>
      </c>
      <c r="L22" s="152">
        <v>681</v>
      </c>
      <c r="M22" s="152">
        <v>678</v>
      </c>
      <c r="N22" s="205"/>
      <c r="O22" s="22"/>
      <c r="P22" s="67"/>
    </row>
    <row r="23" spans="2:16" ht="13">
      <c r="B23" s="11" t="s">
        <v>6</v>
      </c>
      <c r="C23" s="150">
        <v>301</v>
      </c>
      <c r="D23" s="151">
        <v>308</v>
      </c>
      <c r="E23" s="152">
        <v>315</v>
      </c>
      <c r="F23" s="152">
        <v>325</v>
      </c>
      <c r="G23" s="152">
        <v>338</v>
      </c>
      <c r="H23" s="152">
        <v>355</v>
      </c>
      <c r="I23" s="152">
        <v>373</v>
      </c>
      <c r="J23" s="152">
        <v>390</v>
      </c>
      <c r="K23" s="152">
        <v>403</v>
      </c>
      <c r="L23" s="152">
        <v>415</v>
      </c>
      <c r="M23" s="152">
        <v>424</v>
      </c>
      <c r="N23" s="205"/>
      <c r="O23" s="22"/>
      <c r="P23" s="67"/>
    </row>
    <row r="24" spans="2:16" ht="13">
      <c r="B24" s="11" t="s">
        <v>41</v>
      </c>
      <c r="C24" s="150">
        <v>591</v>
      </c>
      <c r="D24" s="151">
        <v>596</v>
      </c>
      <c r="E24" s="152">
        <v>605</v>
      </c>
      <c r="F24" s="152">
        <v>611</v>
      </c>
      <c r="G24" s="152">
        <v>615</v>
      </c>
      <c r="H24" s="152">
        <v>613</v>
      </c>
      <c r="I24" s="152">
        <v>608</v>
      </c>
      <c r="J24" s="152">
        <v>597</v>
      </c>
      <c r="K24" s="152">
        <v>597</v>
      </c>
      <c r="L24" s="152">
        <v>601</v>
      </c>
      <c r="M24" s="152">
        <v>602</v>
      </c>
      <c r="N24" s="205"/>
      <c r="O24" s="22"/>
      <c r="P24" s="67"/>
    </row>
    <row r="25" spans="2:16" ht="13">
      <c r="B25" s="11" t="s">
        <v>32</v>
      </c>
      <c r="C25" s="150">
        <v>472</v>
      </c>
      <c r="D25" s="151">
        <v>471</v>
      </c>
      <c r="E25" s="152">
        <v>472</v>
      </c>
      <c r="F25" s="152">
        <v>477</v>
      </c>
      <c r="G25" s="152">
        <v>481</v>
      </c>
      <c r="H25" s="152">
        <v>487</v>
      </c>
      <c r="I25" s="152">
        <v>489</v>
      </c>
      <c r="J25" s="152">
        <v>499</v>
      </c>
      <c r="K25" s="152">
        <v>503</v>
      </c>
      <c r="L25" s="152">
        <v>502</v>
      </c>
      <c r="M25" s="152">
        <v>504</v>
      </c>
      <c r="N25" s="205"/>
      <c r="O25" s="22"/>
      <c r="P25" s="67"/>
    </row>
    <row r="26" spans="2:16" ht="13">
      <c r="B26" s="11" t="s">
        <v>33</v>
      </c>
      <c r="C26" s="150">
        <v>542</v>
      </c>
      <c r="D26" s="151">
        <v>546</v>
      </c>
      <c r="E26" s="152">
        <v>547</v>
      </c>
      <c r="F26" s="152">
        <v>546</v>
      </c>
      <c r="G26" s="152">
        <v>550</v>
      </c>
      <c r="H26" s="152">
        <v>555</v>
      </c>
      <c r="I26" s="152">
        <v>562</v>
      </c>
      <c r="J26" s="152">
        <v>566</v>
      </c>
      <c r="K26" s="152">
        <v>570</v>
      </c>
      <c r="L26" s="152">
        <v>572</v>
      </c>
      <c r="M26" s="152">
        <v>571</v>
      </c>
      <c r="N26" s="205"/>
      <c r="O26" s="22"/>
      <c r="P26" s="67"/>
    </row>
    <row r="27" spans="2:16" ht="13.15" customHeight="1">
      <c r="B27" s="11" t="s">
        <v>219</v>
      </c>
      <c r="C27" s="150">
        <v>492</v>
      </c>
      <c r="D27" s="151">
        <v>510</v>
      </c>
      <c r="E27" s="152">
        <v>526</v>
      </c>
      <c r="F27" s="152">
        <v>474</v>
      </c>
      <c r="G27" s="152">
        <v>493</v>
      </c>
      <c r="H27" s="152">
        <v>507</v>
      </c>
      <c r="I27" s="152">
        <v>524</v>
      </c>
      <c r="J27" s="152">
        <v>541</v>
      </c>
      <c r="K27" s="152">
        <v>555</v>
      </c>
      <c r="L27" s="152">
        <v>567</v>
      </c>
      <c r="M27" s="152">
        <v>572</v>
      </c>
      <c r="N27" s="205"/>
      <c r="O27" s="22"/>
      <c r="P27" s="67"/>
    </row>
    <row r="28" spans="2:16" ht="13">
      <c r="B28" s="11" t="s">
        <v>34</v>
      </c>
      <c r="C28" s="150">
        <v>406</v>
      </c>
      <c r="D28" s="151">
        <v>415</v>
      </c>
      <c r="E28" s="152">
        <v>453</v>
      </c>
      <c r="F28" s="152">
        <v>457</v>
      </c>
      <c r="G28" s="152">
        <v>470</v>
      </c>
      <c r="H28" s="152">
        <v>492</v>
      </c>
      <c r="I28" s="152">
        <v>514</v>
      </c>
      <c r="J28" s="152">
        <v>530</v>
      </c>
      <c r="K28" s="152">
        <v>540</v>
      </c>
      <c r="L28" s="152">
        <v>544</v>
      </c>
      <c r="M28" s="152">
        <v>556</v>
      </c>
      <c r="N28" s="205"/>
      <c r="O28" s="22"/>
      <c r="P28" s="67"/>
    </row>
    <row r="29" spans="2:16" ht="13">
      <c r="B29" s="11" t="s">
        <v>8</v>
      </c>
      <c r="C29" s="150">
        <v>224</v>
      </c>
      <c r="D29" s="151">
        <v>235</v>
      </c>
      <c r="E29" s="152">
        <v>247</v>
      </c>
      <c r="F29" s="152">
        <v>261</v>
      </c>
      <c r="G29" s="152">
        <v>279</v>
      </c>
      <c r="H29" s="152">
        <v>307</v>
      </c>
      <c r="I29" s="152">
        <v>332</v>
      </c>
      <c r="J29" s="152">
        <v>357</v>
      </c>
      <c r="K29" s="152">
        <v>379</v>
      </c>
      <c r="L29" s="152">
        <v>400</v>
      </c>
      <c r="M29" s="152">
        <v>417</v>
      </c>
      <c r="N29" s="205"/>
      <c r="O29" s="22"/>
      <c r="P29" s="67"/>
    </row>
    <row r="30" spans="2:16" ht="13">
      <c r="B30" s="11" t="s">
        <v>35</v>
      </c>
      <c r="C30" s="150">
        <v>518</v>
      </c>
      <c r="D30" s="151">
        <v>518</v>
      </c>
      <c r="E30" s="152">
        <v>518</v>
      </c>
      <c r="F30" s="152">
        <v>523</v>
      </c>
      <c r="G30" s="152">
        <v>531</v>
      </c>
      <c r="H30" s="152">
        <v>541</v>
      </c>
      <c r="I30" s="152">
        <v>549</v>
      </c>
      <c r="J30" s="152">
        <v>556</v>
      </c>
      <c r="K30" s="152">
        <v>555</v>
      </c>
      <c r="L30" s="152">
        <v>564</v>
      </c>
      <c r="M30" s="152">
        <v>573</v>
      </c>
      <c r="N30" s="205"/>
      <c r="O30" s="22"/>
      <c r="P30" s="67"/>
    </row>
    <row r="31" spans="2:16" ht="13">
      <c r="B31" s="11" t="s">
        <v>9</v>
      </c>
      <c r="C31" s="150">
        <v>337</v>
      </c>
      <c r="D31" s="151">
        <v>347</v>
      </c>
      <c r="E31" s="152">
        <v>360</v>
      </c>
      <c r="F31" s="152">
        <v>375</v>
      </c>
      <c r="G31" s="152">
        <v>390</v>
      </c>
      <c r="H31" s="152">
        <v>408</v>
      </c>
      <c r="I31" s="152">
        <v>426</v>
      </c>
      <c r="J31" s="152">
        <v>439</v>
      </c>
      <c r="K31" s="152">
        <v>447</v>
      </c>
      <c r="L31" s="152">
        <v>459</v>
      </c>
      <c r="M31" s="152">
        <v>472</v>
      </c>
      <c r="N31" s="205"/>
      <c r="O31" s="22"/>
      <c r="P31" s="67"/>
    </row>
    <row r="32" spans="2:16" ht="13">
      <c r="B32" s="14" t="s">
        <v>10</v>
      </c>
      <c r="C32" s="153">
        <v>560</v>
      </c>
      <c r="D32" s="154">
        <v>570</v>
      </c>
      <c r="E32" s="155">
        <v>580</v>
      </c>
      <c r="F32" s="155">
        <v>590</v>
      </c>
      <c r="G32" s="155">
        <v>604</v>
      </c>
      <c r="H32" s="155">
        <v>617</v>
      </c>
      <c r="I32" s="155">
        <v>629</v>
      </c>
      <c r="J32" s="155">
        <v>642</v>
      </c>
      <c r="K32" s="155">
        <v>652</v>
      </c>
      <c r="L32" s="155">
        <v>656</v>
      </c>
      <c r="M32" s="155">
        <v>661</v>
      </c>
      <c r="N32" s="205"/>
      <c r="O32" s="22"/>
      <c r="P32" s="67"/>
    </row>
    <row r="33" spans="2:16" ht="13">
      <c r="B33" s="17" t="s">
        <v>36</v>
      </c>
      <c r="C33" s="156">
        <v>465</v>
      </c>
      <c r="D33" s="157">
        <v>466</v>
      </c>
      <c r="E33" s="158">
        <v>470</v>
      </c>
      <c r="F33" s="158">
        <v>474</v>
      </c>
      <c r="G33" s="158">
        <v>477</v>
      </c>
      <c r="H33" s="158">
        <v>479</v>
      </c>
      <c r="I33" s="158">
        <v>476</v>
      </c>
      <c r="J33" s="158">
        <v>473</v>
      </c>
      <c r="K33" s="158">
        <v>476</v>
      </c>
      <c r="L33" s="158">
        <v>477</v>
      </c>
      <c r="M33" s="158">
        <v>473</v>
      </c>
      <c r="N33" s="205"/>
      <c r="O33" s="22"/>
      <c r="P33" s="67"/>
    </row>
    <row r="34" spans="2:16" ht="13">
      <c r="B34" s="14" t="s">
        <v>80</v>
      </c>
      <c r="C34" s="159" t="s">
        <v>13</v>
      </c>
      <c r="D34" s="160" t="s">
        <v>13</v>
      </c>
      <c r="E34" s="161" t="s">
        <v>13</v>
      </c>
      <c r="F34" s="155" t="s">
        <v>13</v>
      </c>
      <c r="G34" s="155" t="s">
        <v>13</v>
      </c>
      <c r="H34" s="155">
        <v>738</v>
      </c>
      <c r="I34" s="155">
        <v>749</v>
      </c>
      <c r="J34" s="155">
        <v>741</v>
      </c>
      <c r="K34" s="155">
        <v>731</v>
      </c>
      <c r="L34" s="155">
        <v>768</v>
      </c>
      <c r="M34" s="155">
        <v>749</v>
      </c>
      <c r="N34" s="67"/>
      <c r="O34" s="22"/>
      <c r="P34" s="67"/>
    </row>
    <row r="35" spans="2:16" ht="13">
      <c r="B35" s="11" t="s">
        <v>42</v>
      </c>
      <c r="C35" s="162">
        <v>760</v>
      </c>
      <c r="D35" s="163">
        <v>757</v>
      </c>
      <c r="E35" s="164">
        <v>762</v>
      </c>
      <c r="F35" s="152">
        <v>766</v>
      </c>
      <c r="G35" s="152">
        <v>773</v>
      </c>
      <c r="H35" s="152">
        <v>779</v>
      </c>
      <c r="I35" s="152">
        <v>780</v>
      </c>
      <c r="J35" s="152">
        <v>781</v>
      </c>
      <c r="K35" s="152">
        <v>779</v>
      </c>
      <c r="L35" s="152">
        <v>777</v>
      </c>
      <c r="M35" s="152">
        <v>775</v>
      </c>
      <c r="N35" s="67"/>
      <c r="O35" s="22"/>
      <c r="P35" s="67"/>
    </row>
    <row r="36" spans="2:16" ht="13">
      <c r="B36" s="14" t="s">
        <v>37</v>
      </c>
      <c r="C36" s="159">
        <v>484</v>
      </c>
      <c r="D36" s="160">
        <v>489</v>
      </c>
      <c r="E36" s="161">
        <v>495</v>
      </c>
      <c r="F36" s="155">
        <v>501</v>
      </c>
      <c r="G36" s="155">
        <v>506</v>
      </c>
      <c r="H36" s="155">
        <v>514</v>
      </c>
      <c r="I36" s="155">
        <v>516</v>
      </c>
      <c r="J36" s="155">
        <v>522</v>
      </c>
      <c r="K36" s="155">
        <v>544</v>
      </c>
      <c r="L36" s="155">
        <v>554</v>
      </c>
      <c r="M36" s="155">
        <v>553</v>
      </c>
      <c r="N36" s="67"/>
      <c r="O36" s="22"/>
      <c r="P36" s="67"/>
    </row>
    <row r="37" spans="2:16" ht="13">
      <c r="B37" s="17" t="s">
        <v>38</v>
      </c>
      <c r="C37" s="165">
        <v>529</v>
      </c>
      <c r="D37" s="166">
        <v>536</v>
      </c>
      <c r="E37" s="167">
        <v>538</v>
      </c>
      <c r="F37" s="158">
        <v>541</v>
      </c>
      <c r="G37" s="158">
        <v>544</v>
      </c>
      <c r="H37" s="158">
        <v>546</v>
      </c>
      <c r="I37" s="158">
        <v>546</v>
      </c>
      <c r="J37" s="158">
        <v>545</v>
      </c>
      <c r="K37" s="158">
        <v>546</v>
      </c>
      <c r="L37" s="158">
        <v>546</v>
      </c>
      <c r="M37" s="158">
        <v>547</v>
      </c>
      <c r="N37" s="67"/>
      <c r="O37" s="22"/>
      <c r="P37" s="67"/>
    </row>
    <row r="38" spans="2:16" ht="13">
      <c r="B38" s="14" t="s">
        <v>78</v>
      </c>
      <c r="C38" s="159">
        <v>196</v>
      </c>
      <c r="D38" s="160">
        <v>202</v>
      </c>
      <c r="E38" s="161">
        <v>208</v>
      </c>
      <c r="F38" s="155">
        <v>215</v>
      </c>
      <c r="G38" s="155">
        <v>224</v>
      </c>
      <c r="H38" s="155">
        <v>230</v>
      </c>
      <c r="I38" s="155">
        <v>239</v>
      </c>
      <c r="J38" s="155">
        <v>245</v>
      </c>
      <c r="K38" s="155">
        <v>244</v>
      </c>
      <c r="L38" s="155">
        <v>256</v>
      </c>
      <c r="M38" s="155">
        <v>262</v>
      </c>
      <c r="N38" s="67"/>
      <c r="O38" s="22"/>
      <c r="P38" s="67"/>
    </row>
    <row r="39" spans="2:16" ht="13">
      <c r="B39" s="14" t="s">
        <v>79</v>
      </c>
      <c r="C39" s="159" t="s">
        <v>13</v>
      </c>
      <c r="D39" s="160" t="s">
        <v>13</v>
      </c>
      <c r="E39" s="161">
        <v>280</v>
      </c>
      <c r="F39" s="155">
        <v>283</v>
      </c>
      <c r="G39" s="155">
        <v>297</v>
      </c>
      <c r="H39" s="155">
        <v>310</v>
      </c>
      <c r="I39" s="155">
        <v>332</v>
      </c>
      <c r="J39" s="155">
        <v>350</v>
      </c>
      <c r="K39" s="155">
        <v>338</v>
      </c>
      <c r="L39" s="155">
        <v>358</v>
      </c>
      <c r="M39" s="155">
        <v>369</v>
      </c>
      <c r="N39" s="67"/>
      <c r="O39" s="22"/>
      <c r="P39" s="67"/>
    </row>
    <row r="40" spans="2:16" ht="13">
      <c r="B40" s="14" t="s">
        <v>153</v>
      </c>
      <c r="C40" s="162">
        <v>128</v>
      </c>
      <c r="D40" s="160">
        <v>137</v>
      </c>
      <c r="E40" s="160">
        <v>144</v>
      </c>
      <c r="F40" s="154">
        <v>149</v>
      </c>
      <c r="G40" s="154">
        <v>154</v>
      </c>
      <c r="H40" s="155">
        <v>166</v>
      </c>
      <c r="I40" s="155">
        <v>174</v>
      </c>
      <c r="J40" s="155">
        <v>183</v>
      </c>
      <c r="K40" s="155">
        <v>261</v>
      </c>
      <c r="L40" s="155">
        <v>276</v>
      </c>
      <c r="M40" s="155">
        <v>287</v>
      </c>
      <c r="N40" s="67"/>
      <c r="O40" s="22"/>
      <c r="P40" s="67"/>
    </row>
    <row r="41" spans="2:16" ht="13">
      <c r="B41" s="11" t="s">
        <v>58</v>
      </c>
      <c r="C41" s="162">
        <v>146</v>
      </c>
      <c r="D41" s="163">
        <v>168</v>
      </c>
      <c r="E41" s="164">
        <v>180</v>
      </c>
      <c r="F41" s="152">
        <v>185</v>
      </c>
      <c r="G41" s="152">
        <v>190</v>
      </c>
      <c r="H41" s="152">
        <v>194</v>
      </c>
      <c r="I41" s="152">
        <v>200</v>
      </c>
      <c r="J41" s="152">
        <v>205</v>
      </c>
      <c r="K41" s="152">
        <v>207</v>
      </c>
      <c r="L41" s="152">
        <v>260</v>
      </c>
      <c r="M41" s="152">
        <v>263</v>
      </c>
      <c r="N41" s="67"/>
      <c r="O41" s="22"/>
      <c r="P41" s="67"/>
    </row>
    <row r="42" spans="2:16" ht="13">
      <c r="B42" s="14" t="s">
        <v>154</v>
      </c>
      <c r="C42" s="159">
        <v>150</v>
      </c>
      <c r="D42" s="160">
        <v>165</v>
      </c>
      <c r="E42" s="161">
        <v>220</v>
      </c>
      <c r="F42" s="155">
        <v>240</v>
      </c>
      <c r="G42" s="155">
        <v>262</v>
      </c>
      <c r="H42" s="155">
        <v>276</v>
      </c>
      <c r="I42" s="155">
        <v>292</v>
      </c>
      <c r="J42" s="155">
        <v>320</v>
      </c>
      <c r="K42" s="155">
        <v>319</v>
      </c>
      <c r="L42" s="155">
        <v>343</v>
      </c>
      <c r="M42" s="155">
        <v>361</v>
      </c>
      <c r="N42" s="67"/>
      <c r="O42" s="22"/>
      <c r="P42" s="67"/>
    </row>
    <row r="43" spans="2:16" ht="13">
      <c r="B43" s="14" t="s">
        <v>77</v>
      </c>
      <c r="C43" s="159" t="s">
        <v>13</v>
      </c>
      <c r="D43" s="160">
        <v>118</v>
      </c>
      <c r="E43" s="160">
        <v>131</v>
      </c>
      <c r="F43" s="154">
        <v>140</v>
      </c>
      <c r="G43" s="154">
        <v>151</v>
      </c>
      <c r="H43" s="155">
        <v>145</v>
      </c>
      <c r="I43" s="155">
        <v>161</v>
      </c>
      <c r="J43" s="155">
        <v>176</v>
      </c>
      <c r="K43" s="155">
        <v>191</v>
      </c>
      <c r="L43" s="155">
        <v>210</v>
      </c>
      <c r="M43" s="155">
        <v>226</v>
      </c>
      <c r="N43" s="67"/>
      <c r="O43" s="22"/>
      <c r="P43" s="67"/>
    </row>
    <row r="44" spans="2:16" ht="13">
      <c r="B44" s="14" t="s">
        <v>64</v>
      </c>
      <c r="C44" s="162" t="s">
        <v>13</v>
      </c>
      <c r="D44" s="160" t="s">
        <v>13</v>
      </c>
      <c r="E44" s="160" t="s">
        <v>13</v>
      </c>
      <c r="F44" s="154" t="s">
        <v>13</v>
      </c>
      <c r="G44" s="154" t="s">
        <v>13</v>
      </c>
      <c r="H44" s="155" t="s">
        <v>13</v>
      </c>
      <c r="I44" s="155" t="s">
        <v>13</v>
      </c>
      <c r="J44" s="155" t="s">
        <v>13</v>
      </c>
      <c r="K44" s="155">
        <v>315</v>
      </c>
      <c r="L44" s="155">
        <v>329</v>
      </c>
      <c r="M44" s="155">
        <v>344</v>
      </c>
      <c r="N44" s="67"/>
      <c r="O44" s="22"/>
      <c r="P44" s="67"/>
    </row>
    <row r="45" spans="2:16" ht="13">
      <c r="B45" s="14" t="s">
        <v>92</v>
      </c>
      <c r="C45" s="159">
        <v>114</v>
      </c>
      <c r="D45" s="160">
        <v>121</v>
      </c>
      <c r="E45" s="160">
        <v>127</v>
      </c>
      <c r="F45" s="154">
        <v>134</v>
      </c>
      <c r="G45" s="154">
        <v>142</v>
      </c>
      <c r="H45" s="155">
        <v>149</v>
      </c>
      <c r="I45" s="155">
        <v>151</v>
      </c>
      <c r="J45" s="155">
        <v>150</v>
      </c>
      <c r="K45" s="155">
        <v>157</v>
      </c>
      <c r="L45" s="155">
        <v>162</v>
      </c>
      <c r="M45" s="155">
        <v>169</v>
      </c>
      <c r="N45" s="67"/>
      <c r="O45" s="22"/>
      <c r="P45" s="67"/>
    </row>
    <row r="46" spans="2:16" ht="13">
      <c r="B46" s="17" t="s">
        <v>157</v>
      </c>
      <c r="C46" s="156" t="s">
        <v>13</v>
      </c>
      <c r="D46" s="157" t="s">
        <v>13</v>
      </c>
      <c r="E46" s="157" t="s">
        <v>13</v>
      </c>
      <c r="F46" s="157" t="s">
        <v>13</v>
      </c>
      <c r="G46" s="157" t="s">
        <v>13</v>
      </c>
      <c r="H46" s="158" t="s">
        <v>13</v>
      </c>
      <c r="I46" s="158" t="s">
        <v>13</v>
      </c>
      <c r="J46" s="158" t="s">
        <v>13</v>
      </c>
      <c r="K46" s="158" t="s">
        <v>13</v>
      </c>
      <c r="L46" s="158" t="s">
        <v>13</v>
      </c>
      <c r="M46" s="158" t="s">
        <v>13</v>
      </c>
      <c r="N46" s="67"/>
      <c r="O46" s="22"/>
      <c r="P46" s="67"/>
    </row>
    <row r="47" spans="2:16" ht="13">
      <c r="B47" s="227" t="s">
        <v>71</v>
      </c>
      <c r="C47" s="232" t="s">
        <v>13</v>
      </c>
      <c r="D47" s="233" t="s">
        <v>13</v>
      </c>
      <c r="E47" s="234" t="s">
        <v>13</v>
      </c>
      <c r="F47" s="235" t="s">
        <v>13</v>
      </c>
      <c r="G47" s="235" t="s">
        <v>13</v>
      </c>
      <c r="H47" s="235">
        <v>94</v>
      </c>
      <c r="I47" s="235">
        <v>143</v>
      </c>
      <c r="J47" s="235">
        <v>174</v>
      </c>
      <c r="K47" s="235" t="s">
        <v>13</v>
      </c>
      <c r="L47" s="235">
        <v>182</v>
      </c>
      <c r="M47" s="235" t="s">
        <v>13</v>
      </c>
      <c r="N47" s="67"/>
      <c r="O47" s="22"/>
      <c r="P47" s="67"/>
    </row>
    <row r="48" spans="2:24" ht="13">
      <c r="B48" s="4"/>
      <c r="C48" s="74"/>
      <c r="D48" s="74"/>
      <c r="E48" s="74"/>
      <c r="F48" s="74"/>
      <c r="G48" s="74"/>
      <c r="H48" s="74"/>
      <c r="I48" s="74"/>
      <c r="J48" s="74"/>
      <c r="K48" s="74"/>
      <c r="L48" s="75"/>
      <c r="M48" s="75"/>
      <c r="R48" s="3"/>
      <c r="S48" s="3"/>
      <c r="W48" s="3"/>
      <c r="X48" s="3"/>
    </row>
    <row r="49" ht="15" customHeight="1">
      <c r="B49" s="1" t="s">
        <v>50</v>
      </c>
    </row>
    <row r="50" spans="2:8" ht="15" customHeight="1">
      <c r="B50" s="208" t="s">
        <v>238</v>
      </c>
      <c r="C50" s="69"/>
      <c r="D50" s="69"/>
      <c r="E50" s="69"/>
      <c r="F50" s="69"/>
      <c r="G50" s="69"/>
      <c r="H50" s="69"/>
    </row>
    <row r="51" spans="2:8" ht="15" customHeight="1">
      <c r="B51" s="208" t="s">
        <v>239</v>
      </c>
      <c r="C51" s="69"/>
      <c r="D51" s="69"/>
      <c r="E51" s="69"/>
      <c r="F51" s="69"/>
      <c r="G51" s="69"/>
      <c r="H51" s="69"/>
    </row>
    <row r="52" spans="2:9" ht="13">
      <c r="B52" s="1" t="s">
        <v>107</v>
      </c>
      <c r="C52" s="76"/>
      <c r="D52" s="76"/>
      <c r="E52" s="76"/>
      <c r="F52" s="76"/>
      <c r="G52" s="76"/>
      <c r="H52" s="76"/>
      <c r="I52" s="76"/>
    </row>
    <row r="53" ht="15">
      <c r="B53" s="1" t="s">
        <v>105</v>
      </c>
    </row>
    <row r="54" ht="13">
      <c r="B54" s="76" t="s">
        <v>145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2FBB-AFAD-475B-808E-50A63A16182C}">
  <sheetPr>
    <tabColor rgb="FF00B050"/>
  </sheetPr>
  <dimension ref="B2:AH117"/>
  <sheetViews>
    <sheetView showGridLines="0" workbookViewId="0" topLeftCell="A12">
      <selection activeCell="Y32" sqref="Y32"/>
    </sheetView>
  </sheetViews>
  <sheetFormatPr defaultColWidth="9.140625" defaultRowHeight="15"/>
  <cols>
    <col min="1" max="1" width="12.421875" style="169" customWidth="1"/>
    <col min="2" max="2" width="9.140625" style="169" customWidth="1"/>
    <col min="3" max="5" width="9.8515625" style="169" bestFit="1" customWidth="1"/>
    <col min="6" max="8" width="9.28125" style="169" bestFit="1" customWidth="1"/>
    <col min="9" max="19" width="9.140625" style="169" customWidth="1"/>
    <col min="20" max="20" width="24.140625" style="169" customWidth="1"/>
    <col min="21" max="21" width="12.00390625" style="169" bestFit="1" customWidth="1"/>
    <col min="22" max="23" width="9.421875" style="169" bestFit="1" customWidth="1"/>
    <col min="24" max="16384" width="9.140625" style="169" customWidth="1"/>
  </cols>
  <sheetData>
    <row r="1" ht="12.75"/>
    <row r="2" ht="12.75">
      <c r="B2" s="168" t="s">
        <v>167</v>
      </c>
    </row>
    <row r="3" ht="12.75">
      <c r="B3" s="170" t="s">
        <v>11</v>
      </c>
    </row>
    <row r="4" ht="12.75"/>
    <row r="5" ht="12.75"/>
    <row r="6" ht="12.75">
      <c r="T6" s="169">
        <v>2022</v>
      </c>
    </row>
    <row r="7" ht="12.75"/>
    <row r="8" spans="21:23" ht="12.75">
      <c r="U8" s="171" t="s">
        <v>168</v>
      </c>
      <c r="V8" s="171" t="s">
        <v>0</v>
      </c>
      <c r="W8" s="171" t="s">
        <v>63</v>
      </c>
    </row>
    <row r="9" spans="20:28" ht="12.75">
      <c r="T9" s="169" t="s">
        <v>32</v>
      </c>
      <c r="U9" s="172">
        <v>85.23599638313189</v>
      </c>
      <c r="V9" s="172">
        <v>9.863008260414505</v>
      </c>
      <c r="W9" s="172">
        <v>4.900995356453612</v>
      </c>
      <c r="Y9" s="172"/>
      <c r="Z9" s="172"/>
      <c r="AB9" s="172"/>
    </row>
    <row r="10" spans="20:28" ht="12.75">
      <c r="T10" s="169" t="s">
        <v>40</v>
      </c>
      <c r="U10" s="172">
        <v>78.21140483521894</v>
      </c>
      <c r="V10" s="172">
        <v>21.54871400742933</v>
      </c>
      <c r="W10" s="172">
        <v>0.23988115735172535</v>
      </c>
      <c r="Y10" s="172"/>
      <c r="Z10" s="172"/>
      <c r="AB10" s="172"/>
    </row>
    <row r="11" spans="20:28" ht="12.75">
      <c r="T11" s="169" t="s">
        <v>10</v>
      </c>
      <c r="U11" s="172">
        <v>72.62690711126233</v>
      </c>
      <c r="V11" s="172">
        <v>25.515644777135083</v>
      </c>
      <c r="W11" s="172">
        <v>1.857448111602586</v>
      </c>
      <c r="Y11" s="172"/>
      <c r="Z11" s="172"/>
      <c r="AB11" s="172"/>
    </row>
    <row r="12" spans="20:28" ht="12.75">
      <c r="T12" s="169" t="s">
        <v>24</v>
      </c>
      <c r="U12" s="172">
        <v>68.61259744469625</v>
      </c>
      <c r="V12" s="172">
        <v>27.354987868947507</v>
      </c>
      <c r="W12" s="172">
        <v>4.03245038692274</v>
      </c>
      <c r="Y12" s="172"/>
      <c r="Z12" s="172"/>
      <c r="AB12" s="172"/>
    </row>
    <row r="13" spans="20:28" ht="12.75">
      <c r="T13" s="169" t="s">
        <v>41</v>
      </c>
      <c r="U13" s="172">
        <v>68.41731970721928</v>
      </c>
      <c r="V13" s="172">
        <v>30.11404830503666</v>
      </c>
      <c r="W13" s="172">
        <v>1.4686319877440628</v>
      </c>
      <c r="Y13" s="172"/>
      <c r="Z13" s="172"/>
      <c r="AB13" s="172"/>
    </row>
    <row r="14" spans="20:28" ht="12.75">
      <c r="T14" s="169" t="s">
        <v>2</v>
      </c>
      <c r="U14" s="173">
        <v>66.47791987356982</v>
      </c>
      <c r="V14" s="173">
        <v>30.586711212976976</v>
      </c>
      <c r="W14" s="173">
        <v>2.935368913453215</v>
      </c>
      <c r="Y14" s="172"/>
      <c r="Z14" s="172"/>
      <c r="AB14" s="172"/>
    </row>
    <row r="15" spans="20:28" ht="12.75">
      <c r="T15" s="169" t="s">
        <v>6</v>
      </c>
      <c r="U15" s="172">
        <v>63.09835376462246</v>
      </c>
      <c r="V15" s="172">
        <v>31.60835918946374</v>
      </c>
      <c r="W15" s="172">
        <v>5.293287045913795</v>
      </c>
      <c r="Y15" s="172"/>
      <c r="Z15" s="172"/>
      <c r="AB15" s="172"/>
    </row>
    <row r="16" spans="20:28" ht="12.75">
      <c r="T16" s="169" t="s">
        <v>36</v>
      </c>
      <c r="U16" s="172">
        <v>57.958745409669255</v>
      </c>
      <c r="V16" s="172">
        <v>33.72035324586863</v>
      </c>
      <c r="W16" s="172">
        <v>8.320901344462115</v>
      </c>
      <c r="Y16" s="172"/>
      <c r="Z16" s="172"/>
      <c r="AB16" s="172"/>
    </row>
    <row r="17" spans="20:28" ht="12.75">
      <c r="T17" s="169" t="s">
        <v>56</v>
      </c>
      <c r="U17" s="172">
        <v>57.619489832909764</v>
      </c>
      <c r="V17" s="172">
        <v>39.772078172717954</v>
      </c>
      <c r="W17" s="172">
        <v>2.4504855268069727</v>
      </c>
      <c r="Y17" s="172"/>
      <c r="Z17" s="172"/>
      <c r="AB17" s="172"/>
    </row>
    <row r="18" spans="20:28" ht="12.75">
      <c r="T18" s="169" t="s">
        <v>3</v>
      </c>
      <c r="U18" s="172">
        <v>57.2343617169084</v>
      </c>
      <c r="V18" s="172">
        <v>42.03550242907639</v>
      </c>
      <c r="W18" s="172">
        <v>0.7301358540152174</v>
      </c>
      <c r="Y18" s="172"/>
      <c r="Z18" s="172"/>
      <c r="AB18" s="172"/>
    </row>
    <row r="19" spans="20:28" ht="12.75">
      <c r="T19" s="169" t="s">
        <v>23</v>
      </c>
      <c r="U19" s="172">
        <v>56.13961814745374</v>
      </c>
      <c r="V19" s="172">
        <v>41.73615409150667</v>
      </c>
      <c r="W19" s="172">
        <v>2.1242277610395934</v>
      </c>
      <c r="Y19" s="172"/>
      <c r="Z19" s="172"/>
      <c r="AB19" s="172"/>
    </row>
    <row r="20" spans="20:28" ht="12.75">
      <c r="T20" s="169" t="s">
        <v>31</v>
      </c>
      <c r="U20" s="172">
        <v>49.70437347409502</v>
      </c>
      <c r="V20" s="172">
        <v>47.066890278720734</v>
      </c>
      <c r="W20" s="172">
        <v>3.228736247184242</v>
      </c>
      <c r="Y20" s="172"/>
      <c r="Z20" s="172"/>
      <c r="AB20" s="172"/>
    </row>
    <row r="21" spans="20:28" ht="12.75">
      <c r="T21" s="169" t="s">
        <v>8</v>
      </c>
      <c r="U21" s="173">
        <v>47.193620087306265</v>
      </c>
      <c r="V21" s="173">
        <v>50.17619418027749</v>
      </c>
      <c r="W21" s="173">
        <v>2.6301857324162454</v>
      </c>
      <c r="Y21" s="172"/>
      <c r="Z21" s="172"/>
      <c r="AB21" s="172"/>
    </row>
    <row r="22" spans="20:28" ht="12.75">
      <c r="T22" s="169" t="s">
        <v>28</v>
      </c>
      <c r="U22" s="172">
        <v>47.43711750766747</v>
      </c>
      <c r="V22" s="172">
        <v>42.52438529859739</v>
      </c>
      <c r="W22" s="172">
        <v>10.038435024879105</v>
      </c>
      <c r="Y22" s="172"/>
      <c r="Z22" s="172"/>
      <c r="AB22" s="172"/>
    </row>
    <row r="23" spans="20:28" ht="12.75">
      <c r="T23" s="169" t="s">
        <v>35</v>
      </c>
      <c r="U23" s="172">
        <v>46.35062574777169</v>
      </c>
      <c r="V23" s="172">
        <v>50.128047493076</v>
      </c>
      <c r="W23" s="172">
        <v>3.5213267591523114</v>
      </c>
      <c r="Y23" s="172"/>
      <c r="Z23" s="172"/>
      <c r="AB23" s="172"/>
    </row>
    <row r="24" spans="20:28" ht="12.75">
      <c r="T24" s="169" t="s">
        <v>33</v>
      </c>
      <c r="U24" s="172">
        <v>45.47581097635554</v>
      </c>
      <c r="V24" s="172">
        <v>52.276053264581456</v>
      </c>
      <c r="W24" s="172">
        <v>2.248135759062997</v>
      </c>
      <c r="Y24" s="172"/>
      <c r="Z24" s="172"/>
      <c r="AB24" s="172"/>
    </row>
    <row r="25" spans="20:28" ht="12.75">
      <c r="T25" s="169" t="s">
        <v>27</v>
      </c>
      <c r="U25" s="172">
        <v>44.74543926630448</v>
      </c>
      <c r="V25" s="172">
        <v>54.292755048415216</v>
      </c>
      <c r="W25" s="172">
        <v>0.9618056852803021</v>
      </c>
      <c r="Y25" s="172"/>
      <c r="Z25" s="172"/>
      <c r="AB25" s="172"/>
    </row>
    <row r="26" spans="20:28" ht="12.75">
      <c r="T26" s="169" t="s">
        <v>4</v>
      </c>
      <c r="U26" s="172">
        <v>44.01544019979981</v>
      </c>
      <c r="V26" s="172">
        <v>53.43435531956925</v>
      </c>
      <c r="W26" s="172">
        <v>2.550204480630933</v>
      </c>
      <c r="Y26" s="172"/>
      <c r="Z26" s="172"/>
      <c r="AB26" s="172"/>
    </row>
    <row r="27" spans="20:28" ht="12.75">
      <c r="T27" s="169" t="s">
        <v>34</v>
      </c>
      <c r="U27" s="172">
        <v>41.148540888217596</v>
      </c>
      <c r="V27" s="172">
        <v>56.510920322348866</v>
      </c>
      <c r="W27" s="172">
        <v>2.340538789433536</v>
      </c>
      <c r="Y27" s="172"/>
      <c r="Z27" s="172"/>
      <c r="AB27" s="172"/>
    </row>
    <row r="28" spans="20:28" ht="12.75">
      <c r="T28" s="169" t="s">
        <v>25</v>
      </c>
      <c r="U28" s="172">
        <v>40.79815684779862</v>
      </c>
      <c r="V28" s="172">
        <v>57.20709339522854</v>
      </c>
      <c r="W28" s="172">
        <v>1.9947497569728454</v>
      </c>
      <c r="Y28" s="172"/>
      <c r="Z28" s="172"/>
      <c r="AB28" s="172"/>
    </row>
    <row r="29" spans="20:28" ht="12.75">
      <c r="T29" s="169" t="s">
        <v>5</v>
      </c>
      <c r="U29" s="172">
        <v>39.212024118207246</v>
      </c>
      <c r="V29" s="172">
        <v>55.81211527586055</v>
      </c>
      <c r="W29" s="172">
        <v>4.975860605932201</v>
      </c>
      <c r="Y29" s="172"/>
      <c r="Z29" s="172"/>
      <c r="AB29" s="172"/>
    </row>
    <row r="30" spans="20:28" ht="12.75">
      <c r="T30" s="169" t="s">
        <v>29</v>
      </c>
      <c r="U30" s="172">
        <v>28.500772355769545</v>
      </c>
      <c r="V30" s="172">
        <v>65.84537554418928</v>
      </c>
      <c r="W30" s="172">
        <v>5.653852100041184</v>
      </c>
      <c r="Y30" s="172"/>
      <c r="Z30" s="172"/>
      <c r="AB30" s="172"/>
    </row>
    <row r="31" spans="20:28" ht="12.75">
      <c r="T31" s="169" t="s">
        <v>30</v>
      </c>
      <c r="U31" s="172">
        <v>25.90488031876218</v>
      </c>
      <c r="V31" s="172">
        <v>67.00537571862064</v>
      </c>
      <c r="W31" s="172">
        <v>7.08968337065798</v>
      </c>
      <c r="Y31" s="172"/>
      <c r="Z31" s="172"/>
      <c r="AB31" s="172"/>
    </row>
    <row r="32" spans="21:28" ht="12.75">
      <c r="U32" s="172"/>
      <c r="V32" s="172"/>
      <c r="W32" s="172"/>
      <c r="Y32" s="172"/>
      <c r="Z32" s="172"/>
      <c r="AB32" s="172"/>
    </row>
    <row r="33" spans="20:28" ht="12.75">
      <c r="T33" s="169" t="s">
        <v>38</v>
      </c>
      <c r="U33" s="172">
        <v>67.54586012247096</v>
      </c>
      <c r="V33" s="172">
        <v>29.823686196418954</v>
      </c>
      <c r="W33" s="172">
        <v>2.630453681110084</v>
      </c>
      <c r="Z33" s="172"/>
      <c r="AA33" s="172"/>
      <c r="AB33" s="172"/>
    </row>
    <row r="34" spans="20:28" ht="12.75">
      <c r="T34" s="169" t="s">
        <v>241</v>
      </c>
      <c r="U34" s="172">
        <v>66.47186843680475</v>
      </c>
      <c r="V34" s="172">
        <v>31.254216879975914</v>
      </c>
      <c r="W34" s="172">
        <v>2.2704546791365217</v>
      </c>
      <c r="Y34" s="174"/>
      <c r="Z34" s="172"/>
      <c r="AA34" s="172"/>
      <c r="AB34" s="172"/>
    </row>
    <row r="35" spans="20:28" ht="12.75">
      <c r="T35" s="169" t="s">
        <v>42</v>
      </c>
      <c r="U35" s="172">
        <v>65.19455950944257</v>
      </c>
      <c r="V35" s="172">
        <v>31.416549789621318</v>
      </c>
      <c r="W35" s="172">
        <v>3.3823673309631754</v>
      </c>
      <c r="Y35" s="174"/>
      <c r="Z35" s="172"/>
      <c r="AA35" s="172"/>
      <c r="AB35" s="172"/>
    </row>
    <row r="36" spans="20:28" ht="12.75">
      <c r="T36" s="169" t="s">
        <v>37</v>
      </c>
      <c r="U36" s="172">
        <v>38.910262865683826</v>
      </c>
      <c r="V36" s="172">
        <v>40.13872730501058</v>
      </c>
      <c r="W36" s="172">
        <v>20.1422254671504</v>
      </c>
      <c r="Y36" s="174"/>
      <c r="Z36" s="172"/>
      <c r="AA36" s="172"/>
      <c r="AB36" s="172"/>
    </row>
    <row r="37" spans="21:28" ht="12.75">
      <c r="U37" s="172"/>
      <c r="V37" s="172"/>
      <c r="W37" s="172"/>
      <c r="Y37" s="174"/>
      <c r="Z37" s="172"/>
      <c r="AA37" s="172"/>
      <c r="AB37" s="172"/>
    </row>
    <row r="38" spans="20:28" ht="12.75">
      <c r="T38" s="169" t="s">
        <v>154</v>
      </c>
      <c r="U38" s="172">
        <v>55.09320246179329</v>
      </c>
      <c r="V38" s="172">
        <v>12.177609803962754</v>
      </c>
      <c r="W38" s="172">
        <v>32.72918773424395</v>
      </c>
      <c r="Y38" s="174"/>
      <c r="Z38" s="172"/>
      <c r="AA38" s="172"/>
      <c r="AB38" s="172"/>
    </row>
    <row r="39" spans="20:28" ht="12.75">
      <c r="T39" s="169" t="s">
        <v>153</v>
      </c>
      <c r="U39" s="172">
        <v>52.084132069654274</v>
      </c>
      <c r="V39" s="172">
        <v>31.10487016904165</v>
      </c>
      <c r="W39" s="172">
        <v>16.810997761304076</v>
      </c>
      <c r="Z39" s="172"/>
      <c r="AA39" s="172"/>
      <c r="AB39" s="172"/>
    </row>
    <row r="40" spans="20:28" ht="12.75">
      <c r="T40" s="169" t="s">
        <v>58</v>
      </c>
      <c r="U40" s="172">
        <v>39.810789233104856</v>
      </c>
      <c r="V40" s="172">
        <v>58.06565704617752</v>
      </c>
      <c r="W40" s="172">
        <v>2.1225195560537933</v>
      </c>
      <c r="Y40" s="172"/>
      <c r="Z40" s="172"/>
      <c r="AA40" s="172"/>
      <c r="AB40" s="172"/>
    </row>
    <row r="41" spans="20:28" ht="12.75">
      <c r="T41" s="169" t="s">
        <v>92</v>
      </c>
      <c r="U41" s="172">
        <v>27.598001647166598</v>
      </c>
      <c r="V41" s="172">
        <v>36.97144761724289</v>
      </c>
      <c r="W41" s="172">
        <v>35.430550735590515</v>
      </c>
      <c r="Y41" s="172"/>
      <c r="Z41" s="172"/>
      <c r="AA41" s="172"/>
      <c r="AB41" s="172"/>
    </row>
    <row r="42" spans="20:28" ht="12.75">
      <c r="T42" s="169" t="s">
        <v>216</v>
      </c>
      <c r="U42" s="172">
        <v>22.770796342431375</v>
      </c>
      <c r="V42" s="172">
        <v>73.66890103184544</v>
      </c>
      <c r="W42" s="172">
        <v>3.5603026257231862</v>
      </c>
      <c r="Y42" s="172"/>
      <c r="Z42" s="172"/>
      <c r="AA42" s="172"/>
      <c r="AB42" s="172"/>
    </row>
    <row r="43" spans="20:28" ht="12.75">
      <c r="T43" s="169" t="s">
        <v>78</v>
      </c>
      <c r="U43" s="172">
        <v>20.559225238584613</v>
      </c>
      <c r="V43" s="172">
        <v>75.83700909016818</v>
      </c>
      <c r="W43" s="172">
        <v>3.6037656712472</v>
      </c>
      <c r="Y43" s="172"/>
      <c r="Z43" s="172"/>
      <c r="AA43" s="172"/>
      <c r="AB43" s="172"/>
    </row>
    <row r="44" spans="20:23" ht="12.75">
      <c r="T44" s="169" t="s">
        <v>77</v>
      </c>
      <c r="U44" s="172">
        <v>16.96661917266598</v>
      </c>
      <c r="V44" s="172">
        <v>73.75140566080525</v>
      </c>
      <c r="W44" s="172">
        <v>9.281975166528772</v>
      </c>
    </row>
    <row r="45" spans="25:28" ht="12.75">
      <c r="Y45" s="175"/>
      <c r="Z45" s="175"/>
      <c r="AA45" s="175"/>
      <c r="AB45" s="172"/>
    </row>
    <row r="46" spans="20:27" ht="12.75">
      <c r="T46" s="169" t="s">
        <v>215</v>
      </c>
      <c r="U46" s="172">
        <v>17.970505204508196</v>
      </c>
      <c r="V46" s="172">
        <v>82.0102819637993</v>
      </c>
      <c r="W46" s="172">
        <v>0.01921283169249553</v>
      </c>
      <c r="X46" s="170"/>
      <c r="Y46" s="170"/>
      <c r="Z46" s="170"/>
      <c r="AA46" s="170"/>
    </row>
    <row r="47" ht="12.75">
      <c r="X47" s="170"/>
    </row>
    <row r="48" spans="20:24" ht="12.75">
      <c r="T48" s="169" t="s">
        <v>97</v>
      </c>
      <c r="X48" s="170"/>
    </row>
    <row r="49" spans="20:24" ht="12.75">
      <c r="T49" s="170" t="s">
        <v>240</v>
      </c>
      <c r="X49" s="170"/>
    </row>
    <row r="50" spans="20:24" ht="12.75">
      <c r="T50" s="170" t="s">
        <v>217</v>
      </c>
      <c r="X50" s="170"/>
    </row>
    <row r="51" ht="12.75">
      <c r="T51" s="170" t="s">
        <v>218</v>
      </c>
    </row>
    <row r="52" ht="12.75">
      <c r="T52" s="170" t="s">
        <v>81</v>
      </c>
    </row>
    <row r="53" ht="12.75">
      <c r="T53" s="170" t="s">
        <v>82</v>
      </c>
    </row>
    <row r="54" ht="12.75">
      <c r="T54" s="176" t="s">
        <v>169</v>
      </c>
    </row>
    <row r="55" ht="12.75"/>
    <row r="56" ht="12.75"/>
    <row r="57" ht="12.75"/>
    <row r="58" ht="12.75"/>
    <row r="59" ht="15" customHeight="1"/>
    <row r="60" ht="15" customHeight="1"/>
    <row r="61" ht="15" customHeight="1"/>
    <row r="64" spans="2:23" ht="13">
      <c r="B64" s="176"/>
      <c r="V64" s="174"/>
      <c r="W64" s="174"/>
    </row>
    <row r="65" spans="22:23" ht="15">
      <c r="V65" s="174"/>
      <c r="W65" s="174"/>
    </row>
    <row r="67" spans="22:23" ht="15">
      <c r="V67" s="174"/>
      <c r="W67" s="174"/>
    </row>
    <row r="68" spans="7:23" ht="15">
      <c r="G68" s="172"/>
      <c r="L68" s="177"/>
      <c r="M68" s="177"/>
      <c r="N68" s="177"/>
      <c r="V68" s="174"/>
      <c r="W68" s="174"/>
    </row>
    <row r="69" spans="7:14" ht="15">
      <c r="G69" s="172"/>
      <c r="L69" s="177"/>
      <c r="M69" s="177"/>
      <c r="N69" s="177"/>
    </row>
    <row r="70" spans="7:23" ht="15">
      <c r="G70" s="172"/>
      <c r="L70" s="177"/>
      <c r="M70" s="177"/>
      <c r="N70" s="177"/>
      <c r="V70" s="174"/>
      <c r="W70" s="174"/>
    </row>
    <row r="71" spans="7:14" ht="15">
      <c r="G71" s="172"/>
      <c r="L71" s="177"/>
      <c r="M71" s="177"/>
      <c r="N71" s="177"/>
    </row>
    <row r="72" spans="7:14" ht="15">
      <c r="G72" s="172"/>
      <c r="L72" s="177"/>
      <c r="M72" s="177"/>
      <c r="N72" s="177"/>
    </row>
    <row r="73" spans="7:23" ht="15">
      <c r="G73" s="172"/>
      <c r="L73" s="177"/>
      <c r="M73" s="177"/>
      <c r="N73" s="177"/>
      <c r="V73" s="174"/>
      <c r="W73" s="174"/>
    </row>
    <row r="74" spans="7:23" ht="15">
      <c r="G74" s="172"/>
      <c r="L74" s="177"/>
      <c r="M74" s="177"/>
      <c r="N74" s="177"/>
      <c r="V74" s="174"/>
      <c r="W74" s="174"/>
    </row>
    <row r="75" spans="7:14" ht="15">
      <c r="G75" s="172"/>
      <c r="L75" s="177"/>
      <c r="M75" s="177"/>
      <c r="N75" s="177"/>
    </row>
    <row r="76" spans="7:23" ht="15">
      <c r="G76" s="172"/>
      <c r="L76" s="177"/>
      <c r="M76" s="177"/>
      <c r="N76" s="177"/>
      <c r="V76" s="174"/>
      <c r="W76" s="174"/>
    </row>
    <row r="77" spans="7:34" ht="15">
      <c r="G77" s="172"/>
      <c r="L77" s="177"/>
      <c r="M77" s="177"/>
      <c r="N77" s="177"/>
      <c r="V77" s="174"/>
      <c r="W77" s="174"/>
      <c r="X77" s="174"/>
      <c r="AF77" s="174"/>
      <c r="AG77" s="174"/>
      <c r="AH77" s="174"/>
    </row>
    <row r="78" spans="24:34" ht="15">
      <c r="X78" s="174"/>
      <c r="AF78" s="174"/>
      <c r="AG78" s="174"/>
      <c r="AH78" s="174"/>
    </row>
    <row r="79" spans="22:34" ht="15">
      <c r="V79" s="174"/>
      <c r="W79" s="174"/>
      <c r="X79" s="174"/>
      <c r="AF79" s="174"/>
      <c r="AG79" s="174"/>
      <c r="AH79" s="174"/>
    </row>
    <row r="80" spans="22:34" ht="15">
      <c r="V80" s="174"/>
      <c r="W80" s="174"/>
      <c r="X80" s="174"/>
      <c r="AF80" s="174"/>
      <c r="AG80" s="174"/>
      <c r="AH80" s="174"/>
    </row>
    <row r="81" spans="22:34" ht="15">
      <c r="V81" s="174"/>
      <c r="W81" s="174"/>
      <c r="X81" s="174"/>
      <c r="AF81" s="174"/>
      <c r="AG81" s="174"/>
      <c r="AH81" s="174"/>
    </row>
    <row r="82" spans="22:34" ht="15">
      <c r="V82" s="174"/>
      <c r="W82" s="174"/>
      <c r="X82" s="174"/>
      <c r="AF82" s="174"/>
      <c r="AG82" s="174"/>
      <c r="AH82" s="174"/>
    </row>
    <row r="83" spans="24:34" ht="15">
      <c r="X83" s="174"/>
      <c r="AF83" s="174"/>
      <c r="AG83" s="174"/>
      <c r="AH83" s="174"/>
    </row>
    <row r="84" spans="24:34" ht="15">
      <c r="X84" s="174"/>
      <c r="AF84" s="174"/>
      <c r="AG84" s="174"/>
      <c r="AH84" s="174"/>
    </row>
    <row r="85" spans="22:34" ht="15">
      <c r="V85" s="174"/>
      <c r="W85" s="174"/>
      <c r="X85" s="174"/>
      <c r="AF85" s="174"/>
      <c r="AG85" s="174"/>
      <c r="AH85" s="174"/>
    </row>
    <row r="86" spans="24:34" ht="15">
      <c r="X86" s="174"/>
      <c r="AF86" s="174"/>
      <c r="AG86" s="174"/>
      <c r="AH86" s="174"/>
    </row>
    <row r="87" spans="24:34" ht="15">
      <c r="X87" s="174"/>
      <c r="AF87" s="174"/>
      <c r="AG87" s="174"/>
      <c r="AH87" s="174"/>
    </row>
    <row r="88" spans="22:34" ht="15">
      <c r="V88" s="174"/>
      <c r="W88" s="174"/>
      <c r="X88" s="174"/>
      <c r="AF88" s="174"/>
      <c r="AG88" s="174"/>
      <c r="AH88" s="174"/>
    </row>
    <row r="89" spans="22:34" ht="15">
      <c r="V89" s="174"/>
      <c r="W89" s="174"/>
      <c r="X89" s="174"/>
      <c r="AF89" s="174"/>
      <c r="AG89" s="174"/>
      <c r="AH89" s="174"/>
    </row>
    <row r="90" spans="22:34" ht="15">
      <c r="V90" s="174"/>
      <c r="W90" s="174"/>
      <c r="X90" s="174"/>
      <c r="AF90" s="174"/>
      <c r="AG90" s="174"/>
      <c r="AH90" s="174"/>
    </row>
    <row r="91" spans="21:34" ht="15">
      <c r="U91" s="169">
        <v>16.34830321868693</v>
      </c>
      <c r="V91" s="174" t="s">
        <v>129</v>
      </c>
      <c r="W91" s="174"/>
      <c r="X91" s="174"/>
      <c r="AF91" s="174"/>
      <c r="AG91" s="174"/>
      <c r="AH91" s="174"/>
    </row>
    <row r="92" spans="21:34" ht="15">
      <c r="U92" s="169">
        <v>9.771546762384881</v>
      </c>
      <c r="V92" s="174" t="s">
        <v>123</v>
      </c>
      <c r="W92" s="174"/>
      <c r="X92" s="174"/>
      <c r="AF92" s="174"/>
      <c r="AG92" s="174"/>
      <c r="AH92" s="174"/>
    </row>
    <row r="93" spans="21:34" ht="15">
      <c r="U93" s="169">
        <v>7.141886226114007</v>
      </c>
      <c r="V93" s="169" t="s">
        <v>124</v>
      </c>
      <c r="W93" s="174"/>
      <c r="X93" s="174"/>
      <c r="AF93" s="174"/>
      <c r="AG93" s="174"/>
      <c r="AH93" s="174"/>
    </row>
    <row r="94" spans="21:34" ht="15">
      <c r="U94" s="169">
        <v>6.72626178329271</v>
      </c>
      <c r="V94" s="174" t="s">
        <v>132</v>
      </c>
      <c r="W94" s="174"/>
      <c r="X94" s="174"/>
      <c r="AF94" s="174"/>
      <c r="AG94" s="174"/>
      <c r="AH94" s="174"/>
    </row>
    <row r="95" spans="21:34" ht="15">
      <c r="U95" s="169">
        <v>5.866311316377747</v>
      </c>
      <c r="V95" s="169" t="s">
        <v>126</v>
      </c>
      <c r="W95" s="174"/>
      <c r="X95" s="174"/>
      <c r="AF95" s="174"/>
      <c r="AG95" s="174"/>
      <c r="AH95" s="174"/>
    </row>
    <row r="96" spans="21:34" ht="15">
      <c r="U96" s="169">
        <v>4.4375134018206985</v>
      </c>
      <c r="V96" s="169" t="s">
        <v>120</v>
      </c>
      <c r="W96" s="174"/>
      <c r="X96" s="174"/>
      <c r="AF96" s="174"/>
      <c r="AG96" s="174"/>
      <c r="AH96" s="174"/>
    </row>
    <row r="97" spans="21:34" ht="15">
      <c r="U97" s="169">
        <v>4.136751805090296</v>
      </c>
      <c r="V97" s="169" t="s">
        <v>121</v>
      </c>
      <c r="W97" s="174"/>
      <c r="X97" s="174"/>
      <c r="AF97" s="174"/>
      <c r="AG97" s="174"/>
      <c r="AH97" s="174"/>
    </row>
    <row r="98" spans="21:34" ht="15">
      <c r="U98" s="169">
        <v>4.008673144980198</v>
      </c>
      <c r="V98" s="174" t="s">
        <v>128</v>
      </c>
      <c r="W98" s="174"/>
      <c r="X98" s="174"/>
      <c r="AF98" s="174"/>
      <c r="AG98" s="174"/>
      <c r="AH98" s="174"/>
    </row>
    <row r="99" spans="21:34" ht="15">
      <c r="U99" s="169">
        <v>2.6159835958761013</v>
      </c>
      <c r="V99" s="174" t="s">
        <v>133</v>
      </c>
      <c r="W99" s="174"/>
      <c r="X99" s="174"/>
      <c r="AF99" s="174"/>
      <c r="AG99" s="174"/>
      <c r="AH99" s="174"/>
    </row>
    <row r="100" spans="21:34" ht="15">
      <c r="U100" s="169">
        <v>2.471073606482797</v>
      </c>
      <c r="V100" s="169" t="s">
        <v>112</v>
      </c>
      <c r="W100" s="174"/>
      <c r="X100" s="174"/>
      <c r="AF100" s="174"/>
      <c r="AG100" s="174"/>
      <c r="AH100" s="174"/>
    </row>
    <row r="101" spans="21:34" ht="15">
      <c r="U101" s="169">
        <v>2.4008870862724403</v>
      </c>
      <c r="V101" s="174" t="s">
        <v>114</v>
      </c>
      <c r="W101" s="174"/>
      <c r="X101" s="174"/>
      <c r="AF101" s="174"/>
      <c r="AG101" s="174"/>
      <c r="AH101" s="174"/>
    </row>
    <row r="102" spans="21:34" ht="15">
      <c r="U102" s="169">
        <v>2.1481543864946158</v>
      </c>
      <c r="V102" s="169" t="s">
        <v>113</v>
      </c>
      <c r="W102" s="174"/>
      <c r="X102" s="174"/>
      <c r="AF102" s="174"/>
      <c r="AG102" s="174"/>
      <c r="AH102" s="174"/>
    </row>
    <row r="103" spans="21:34" ht="15">
      <c r="U103" s="169">
        <v>1.91091202619432</v>
      </c>
      <c r="V103" s="174" t="s">
        <v>125</v>
      </c>
      <c r="W103" s="174"/>
      <c r="X103" s="174"/>
      <c r="AF103" s="174"/>
      <c r="AG103" s="174"/>
      <c r="AH103" s="174"/>
    </row>
    <row r="104" spans="21:34" ht="15">
      <c r="U104" s="169">
        <v>1.8738801884159555</v>
      </c>
      <c r="V104" s="174" t="s">
        <v>130</v>
      </c>
      <c r="W104" s="174"/>
      <c r="X104" s="174"/>
      <c r="AF104" s="174"/>
      <c r="AG104" s="174"/>
      <c r="AH104" s="174"/>
    </row>
    <row r="105" spans="21:34" ht="15">
      <c r="U105" s="169">
        <v>1.728645776730645</v>
      </c>
      <c r="V105" s="174" t="s">
        <v>118</v>
      </c>
      <c r="W105" s="174"/>
      <c r="X105" s="174"/>
      <c r="AF105" s="174"/>
      <c r="AG105" s="174"/>
      <c r="AH105" s="174"/>
    </row>
    <row r="106" spans="21:34" ht="15">
      <c r="U106" s="169">
        <v>1.604667542944496</v>
      </c>
      <c r="V106" s="174" t="s">
        <v>108</v>
      </c>
      <c r="W106" s="174"/>
      <c r="X106" s="174"/>
      <c r="AF106" s="174"/>
      <c r="AG106" s="174"/>
      <c r="AH106" s="174"/>
    </row>
    <row r="107" spans="21:34" ht="15">
      <c r="U107" s="169">
        <v>1.5801516621704235</v>
      </c>
      <c r="V107" s="174" t="s">
        <v>109</v>
      </c>
      <c r="W107" s="174"/>
      <c r="X107" s="174"/>
      <c r="AF107" s="174"/>
      <c r="AG107" s="174"/>
      <c r="AH107" s="174"/>
    </row>
    <row r="108" spans="21:34" ht="15">
      <c r="U108" s="169">
        <v>1.2992691881407592</v>
      </c>
      <c r="V108" s="169" t="s">
        <v>122</v>
      </c>
      <c r="X108" s="174"/>
      <c r="AF108" s="174"/>
      <c r="AG108" s="174"/>
      <c r="AH108" s="174"/>
    </row>
    <row r="109" spans="21:34" ht="15">
      <c r="U109" s="169">
        <v>1.1913392495246504</v>
      </c>
      <c r="V109" s="174" t="s">
        <v>117</v>
      </c>
      <c r="X109" s="174"/>
      <c r="AF109" s="174"/>
      <c r="AG109" s="174"/>
      <c r="AH109" s="174"/>
    </row>
    <row r="110" spans="21:34" ht="15">
      <c r="U110" s="169">
        <v>1.134182906152112</v>
      </c>
      <c r="V110" s="174" t="s">
        <v>127</v>
      </c>
      <c r="X110" s="174"/>
      <c r="AF110" s="174"/>
      <c r="AG110" s="174"/>
      <c r="AH110" s="174"/>
    </row>
    <row r="111" spans="21:22" ht="15">
      <c r="U111" s="169">
        <v>0.7020233345209266</v>
      </c>
      <c r="V111" s="174" t="s">
        <v>116</v>
      </c>
    </row>
    <row r="112" spans="21:22" ht="15">
      <c r="U112" s="169">
        <v>0.6897087243936078</v>
      </c>
      <c r="V112" s="174" t="s">
        <v>131</v>
      </c>
    </row>
    <row r="113" spans="21:22" ht="15">
      <c r="U113" s="169">
        <v>0.6094903237054687</v>
      </c>
      <c r="V113" s="169" t="s">
        <v>115</v>
      </c>
    </row>
    <row r="114" spans="21:22" ht="15">
      <c r="U114" s="169">
        <v>0.15823532987928857</v>
      </c>
      <c r="V114" s="169" t="s">
        <v>111</v>
      </c>
    </row>
    <row r="115" ht="15">
      <c r="V115" s="174" t="s">
        <v>110</v>
      </c>
    </row>
    <row r="116" ht="15">
      <c r="V116" s="174" t="s">
        <v>170</v>
      </c>
    </row>
    <row r="117" ht="15">
      <c r="V117" s="169" t="s">
        <v>134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2:X108"/>
  <sheetViews>
    <sheetView showGridLines="0" workbookViewId="0" topLeftCell="A1">
      <selection activeCell="B2" sqref="B2:M57"/>
    </sheetView>
  </sheetViews>
  <sheetFormatPr defaultColWidth="9.28125" defaultRowHeight="15"/>
  <cols>
    <col min="1" max="1" width="9.28125" style="3" customWidth="1"/>
    <col min="2" max="2" width="22.7109375" style="3" customWidth="1"/>
    <col min="3" max="13" width="8.7109375" style="3" customWidth="1"/>
    <col min="14" max="14" width="7.28125" style="3" customWidth="1"/>
    <col min="15" max="15" width="9.28125" style="3" customWidth="1"/>
    <col min="16" max="16" width="14.7109375" style="3" customWidth="1"/>
    <col min="17" max="16384" width="9.28125" style="3" customWidth="1"/>
  </cols>
  <sheetData>
    <row r="2" ht="13">
      <c r="B2" s="4" t="s">
        <v>171</v>
      </c>
    </row>
    <row r="3" ht="15">
      <c r="B3" s="1" t="s">
        <v>86</v>
      </c>
    </row>
    <row r="4" spans="3:13" ht="15">
      <c r="C4" s="207"/>
      <c r="D4" s="207"/>
      <c r="E4" s="207"/>
      <c r="F4" s="207"/>
      <c r="G4" s="207"/>
      <c r="H4" s="207"/>
      <c r="I4" s="207"/>
      <c r="J4" s="207"/>
      <c r="K4" s="207"/>
      <c r="L4" s="22"/>
      <c r="M4" s="22"/>
    </row>
    <row r="5" spans="2:13" ht="13">
      <c r="B5" s="24"/>
      <c r="C5" s="68">
        <v>2012</v>
      </c>
      <c r="D5" s="221">
        <v>2013</v>
      </c>
      <c r="E5" s="221">
        <v>2014</v>
      </c>
      <c r="F5" s="221">
        <v>2015</v>
      </c>
      <c r="G5" s="221">
        <v>2016</v>
      </c>
      <c r="H5" s="221">
        <v>2017</v>
      </c>
      <c r="I5" s="221">
        <v>2018</v>
      </c>
      <c r="J5" s="221">
        <v>2019</v>
      </c>
      <c r="K5" s="221">
        <v>2020</v>
      </c>
      <c r="L5" s="221">
        <v>2021</v>
      </c>
      <c r="M5" s="221">
        <v>2022</v>
      </c>
    </row>
    <row r="6" spans="2:24" ht="13">
      <c r="B6" s="70" t="s">
        <v>89</v>
      </c>
      <c r="C6" s="209">
        <v>4.8</v>
      </c>
      <c r="D6" s="196">
        <v>4.4</v>
      </c>
      <c r="E6" s="196">
        <v>4.5</v>
      </c>
      <c r="F6" s="196">
        <v>5</v>
      </c>
      <c r="G6" s="196">
        <v>5.2</v>
      </c>
      <c r="H6" s="196">
        <v>5.4</v>
      </c>
      <c r="I6" s="196">
        <v>5.4</v>
      </c>
      <c r="J6" s="196">
        <v>5.4</v>
      </c>
      <c r="K6" s="196">
        <v>4.1</v>
      </c>
      <c r="L6" s="196">
        <v>3.948875201338246</v>
      </c>
      <c r="M6" s="196">
        <v>3.698261923833685</v>
      </c>
      <c r="N6" s="22"/>
      <c r="O6" s="22"/>
      <c r="P6" s="67"/>
      <c r="R6" s="67"/>
      <c r="S6" s="67"/>
      <c r="T6" s="67"/>
      <c r="U6" s="67"/>
      <c r="V6" s="67"/>
      <c r="W6" s="67"/>
      <c r="X6" s="67"/>
    </row>
    <row r="7" spans="2:13" ht="13">
      <c r="B7" s="8" t="s">
        <v>23</v>
      </c>
      <c r="C7" s="185">
        <v>9.013795003673769</v>
      </c>
      <c r="D7" s="186">
        <v>8.926394819159905</v>
      </c>
      <c r="E7" s="186">
        <v>8.778887369073416</v>
      </c>
      <c r="F7" s="186">
        <v>9.002878771686145</v>
      </c>
      <c r="G7" s="186">
        <v>9.561207417077654</v>
      </c>
      <c r="H7" s="186">
        <v>9.570427315296467</v>
      </c>
      <c r="I7" s="186">
        <v>9.523535382766218</v>
      </c>
      <c r="J7" s="186">
        <v>9.474445638718946</v>
      </c>
      <c r="K7" s="186">
        <v>7.455741944292598</v>
      </c>
      <c r="L7" s="186">
        <v>6.625756252791877</v>
      </c>
      <c r="M7" s="186">
        <v>6.298416522361827</v>
      </c>
    </row>
    <row r="8" spans="2:13" ht="13">
      <c r="B8" s="11" t="s">
        <v>83</v>
      </c>
      <c r="C8" s="178">
        <v>7.004417527609548</v>
      </c>
      <c r="D8" s="179">
        <v>0.5193395035108849</v>
      </c>
      <c r="E8" s="179">
        <v>0.5516508215536008</v>
      </c>
      <c r="F8" s="179">
        <v>0.5461985422687969</v>
      </c>
      <c r="G8" s="179">
        <v>0.6484987759132298</v>
      </c>
      <c r="H8" s="179">
        <v>0.9382393439723672</v>
      </c>
      <c r="I8" s="179">
        <v>1.0306761739067725</v>
      </c>
      <c r="J8" s="179">
        <v>1.1620363074065725</v>
      </c>
      <c r="K8" s="179">
        <v>0.7126155876854836</v>
      </c>
      <c r="L8" s="179">
        <v>0.8644165762221317</v>
      </c>
      <c r="M8" s="179">
        <v>0.9861994899849039</v>
      </c>
    </row>
    <row r="9" spans="2:13" ht="13">
      <c r="B9" s="11" t="s">
        <v>56</v>
      </c>
      <c r="C9" s="178">
        <v>3.70401614959626</v>
      </c>
      <c r="D9" s="179">
        <v>3.4810860645121724</v>
      </c>
      <c r="E9" s="179">
        <v>3.9914668516025826</v>
      </c>
      <c r="F9" s="179">
        <v>4.491042195633662</v>
      </c>
      <c r="G9" s="179">
        <v>4.858012949978598</v>
      </c>
      <c r="H9" s="179">
        <v>4.868385557675369</v>
      </c>
      <c r="I9" s="179">
        <v>4.515117052050022</v>
      </c>
      <c r="J9" s="179">
        <v>4.17834951759453</v>
      </c>
      <c r="K9" s="179">
        <v>3.279742712119096</v>
      </c>
      <c r="L9" s="179">
        <v>3.373396422570881</v>
      </c>
      <c r="M9" s="179">
        <v>2.8170925988124833</v>
      </c>
    </row>
    <row r="10" spans="2:13" ht="13">
      <c r="B10" s="11" t="s">
        <v>24</v>
      </c>
      <c r="C10" s="178">
        <v>7.592388792385932</v>
      </c>
      <c r="D10" s="179">
        <v>7.929777644718815</v>
      </c>
      <c r="E10" s="179">
        <v>8.123725049122394</v>
      </c>
      <c r="F10" s="179">
        <v>8.643592603885775</v>
      </c>
      <c r="G10" s="179">
        <v>9.023156849591205</v>
      </c>
      <c r="H10" s="179">
        <v>8.753693599973438</v>
      </c>
      <c r="I10" s="179">
        <v>8.420756050726117</v>
      </c>
      <c r="J10" s="179">
        <v>8.508372424003701</v>
      </c>
      <c r="K10" s="179">
        <v>7.305702868103092</v>
      </c>
      <c r="L10" s="179">
        <v>6.693756136654621</v>
      </c>
      <c r="M10" s="179">
        <v>5.329559069443314</v>
      </c>
    </row>
    <row r="11" spans="2:13" ht="13">
      <c r="B11" s="11" t="s">
        <v>57</v>
      </c>
      <c r="C11" s="178">
        <v>7.097474154405839</v>
      </c>
      <c r="D11" s="179">
        <v>6.732870402043282</v>
      </c>
      <c r="E11" s="179">
        <v>6.839116726347319</v>
      </c>
      <c r="F11" s="179">
        <v>7.113314548157351</v>
      </c>
      <c r="G11" s="179">
        <v>7.173905259765835</v>
      </c>
      <c r="H11" s="179">
        <v>7.404609064470795</v>
      </c>
      <c r="I11" s="179">
        <v>7.2952984496446645</v>
      </c>
      <c r="J11" s="179">
        <v>7.55985358950106</v>
      </c>
      <c r="K11" s="179">
        <v>6.047178503725623</v>
      </c>
      <c r="L11" s="179">
        <v>5.401904761590838</v>
      </c>
      <c r="M11" s="179">
        <v>5.4372270832357525</v>
      </c>
    </row>
    <row r="12" spans="2:13" ht="13">
      <c r="B12" s="11" t="s">
        <v>3</v>
      </c>
      <c r="C12" s="178">
        <v>3.225710014947683</v>
      </c>
      <c r="D12" s="179">
        <v>3.1325320372594723</v>
      </c>
      <c r="E12" s="179">
        <v>3.2357760931158586</v>
      </c>
      <c r="F12" s="179">
        <v>3.113231529598165</v>
      </c>
      <c r="G12" s="179">
        <v>3.2738344964310655</v>
      </c>
      <c r="H12" s="179">
        <v>3.5293355961341373</v>
      </c>
      <c r="I12" s="179">
        <v>3.5231437818836544</v>
      </c>
      <c r="J12" s="179">
        <v>3.4693795397307423</v>
      </c>
      <c r="K12" s="179">
        <v>2.385960486664218</v>
      </c>
      <c r="L12" s="179">
        <v>2.737500242149513</v>
      </c>
      <c r="M12" s="179">
        <v>2.4205987561433377</v>
      </c>
    </row>
    <row r="13" spans="2:13" ht="13">
      <c r="B13" s="11" t="s">
        <v>25</v>
      </c>
      <c r="C13" s="187">
        <v>3.475820798140493</v>
      </c>
      <c r="D13" s="188">
        <v>3.782362765726626</v>
      </c>
      <c r="E13" s="179">
        <v>4.168636136173333</v>
      </c>
      <c r="F13" s="179">
        <v>6.308168743356131</v>
      </c>
      <c r="G13" s="179">
        <v>7.122346294323542</v>
      </c>
      <c r="H13" s="179">
        <v>6.235045906674322</v>
      </c>
      <c r="I13" s="179">
        <v>5.888855294742822</v>
      </c>
      <c r="J13" s="179">
        <v>5.596637685790495</v>
      </c>
      <c r="K13" s="179">
        <v>4.031213731598558</v>
      </c>
      <c r="L13" s="179">
        <v>4.7024366167913545</v>
      </c>
      <c r="M13" s="179">
        <v>4.608736986805874</v>
      </c>
    </row>
    <row r="14" spans="2:13" ht="13">
      <c r="B14" s="11" t="s">
        <v>67</v>
      </c>
      <c r="C14" s="187">
        <v>1.244321059254886</v>
      </c>
      <c r="D14" s="188">
        <v>1.1447427582955259</v>
      </c>
      <c r="E14" s="179">
        <v>1.3854775886624457</v>
      </c>
      <c r="F14" s="179">
        <v>1.478124840923953</v>
      </c>
      <c r="G14" s="179">
        <v>1.52692141325598</v>
      </c>
      <c r="H14" s="179">
        <v>1.6807144788851185</v>
      </c>
      <c r="I14" s="179">
        <v>1.9558577582086414</v>
      </c>
      <c r="J14" s="179">
        <v>2.1086825963539417</v>
      </c>
      <c r="K14" s="179">
        <v>1.449279848278715</v>
      </c>
      <c r="L14" s="179">
        <v>1.7892677481428187</v>
      </c>
      <c r="M14" s="179">
        <v>1.8375616397590504</v>
      </c>
    </row>
    <row r="15" spans="2:13" ht="13">
      <c r="B15" s="11" t="s">
        <v>27</v>
      </c>
      <c r="C15" s="187">
        <v>3.2</v>
      </c>
      <c r="D15" s="188">
        <v>3.370283768444949</v>
      </c>
      <c r="E15" s="179">
        <v>4.040602442759512</v>
      </c>
      <c r="F15" s="179">
        <v>4.686898988702984</v>
      </c>
      <c r="G15" s="188">
        <v>5.117331295307873</v>
      </c>
      <c r="H15" s="188">
        <v>5.427142854653508</v>
      </c>
      <c r="I15" s="188">
        <v>5.687872245663663</v>
      </c>
      <c r="J15" s="188">
        <v>5.313476788303222</v>
      </c>
      <c r="K15" s="188">
        <v>3.5626897037210115</v>
      </c>
      <c r="L15" s="188">
        <v>3.494466887772601</v>
      </c>
      <c r="M15" s="179">
        <v>3.2005626811140173</v>
      </c>
    </row>
    <row r="16" spans="2:13" ht="13">
      <c r="B16" s="11" t="s">
        <v>4</v>
      </c>
      <c r="C16" s="187">
        <v>5.226351501959038</v>
      </c>
      <c r="D16" s="188">
        <v>4.860277798448266</v>
      </c>
      <c r="E16" s="179">
        <v>4.818436579269804</v>
      </c>
      <c r="F16" s="179">
        <v>5.073221829063885</v>
      </c>
      <c r="G16" s="179">
        <v>5.267554817612264</v>
      </c>
      <c r="H16" s="179">
        <v>5.660551645047074</v>
      </c>
      <c r="I16" s="179">
        <v>5.816430615204749</v>
      </c>
      <c r="J16" s="179">
        <v>5.877681962086678</v>
      </c>
      <c r="K16" s="179">
        <v>4.402479247298827</v>
      </c>
      <c r="L16" s="179">
        <v>4.402138377668087</v>
      </c>
      <c r="M16" s="179">
        <v>4.058395184001685</v>
      </c>
    </row>
    <row r="17" spans="2:13" ht="13">
      <c r="B17" s="11" t="s">
        <v>88</v>
      </c>
      <c r="C17" s="187">
        <v>2.8252595155709344</v>
      </c>
      <c r="D17" s="188">
        <v>3.2150107022025822</v>
      </c>
      <c r="E17" s="179">
        <v>4.647150380299696</v>
      </c>
      <c r="F17" s="179">
        <v>4.9460528789800255</v>
      </c>
      <c r="G17" s="179">
        <v>6.21126611818889</v>
      </c>
      <c r="H17" s="179">
        <v>5.876997933070065</v>
      </c>
      <c r="I17" s="179">
        <v>8.439924556517502</v>
      </c>
      <c r="J17" s="179">
        <v>8.64612441300945</v>
      </c>
      <c r="K17" s="179">
        <v>5.473161597333768</v>
      </c>
      <c r="L17" s="179">
        <v>1.9630569239723414</v>
      </c>
      <c r="M17" s="179">
        <v>2.012421995831086</v>
      </c>
    </row>
    <row r="18" spans="2:13" ht="13">
      <c r="B18" s="11" t="s">
        <v>174</v>
      </c>
      <c r="C18" s="187">
        <v>3.7840309617562977</v>
      </c>
      <c r="D18" s="188">
        <v>3.5476936395855314</v>
      </c>
      <c r="E18" s="179">
        <v>3.7113189152334636</v>
      </c>
      <c r="F18" s="179">
        <v>4.267213882872354</v>
      </c>
      <c r="G18" s="179">
        <v>4.881281718848949</v>
      </c>
      <c r="H18" s="179">
        <v>5.176036824822929</v>
      </c>
      <c r="I18" s="179">
        <v>4.98309377400324</v>
      </c>
      <c r="J18" s="179">
        <v>4.927216004194893</v>
      </c>
      <c r="K18" s="179">
        <v>3.6186705260206025</v>
      </c>
      <c r="L18" s="179">
        <v>3.8140937775651356</v>
      </c>
      <c r="M18" s="179">
        <v>3.274963325970137</v>
      </c>
    </row>
    <row r="19" spans="2:13" ht="13">
      <c r="B19" s="11" t="s">
        <v>84</v>
      </c>
      <c r="C19" s="187">
        <v>4.327578947368421</v>
      </c>
      <c r="D19" s="188">
        <v>1.4849513550418176</v>
      </c>
      <c r="E19" s="179">
        <v>1.728555545338271</v>
      </c>
      <c r="F19" s="179">
        <v>2.0664681807370227</v>
      </c>
      <c r="G19" s="179">
        <v>2.4529593691715657</v>
      </c>
      <c r="H19" s="179">
        <v>2.4909944039026466</v>
      </c>
      <c r="I19" s="179">
        <v>2.383533534896812</v>
      </c>
      <c r="J19" s="179">
        <v>2.201044190315825</v>
      </c>
      <c r="K19" s="179">
        <v>1.770623255234728</v>
      </c>
      <c r="L19" s="179">
        <v>1.7919264518133735</v>
      </c>
      <c r="M19" s="179">
        <v>1.925869735548491</v>
      </c>
    </row>
    <row r="20" spans="2:13" ht="13">
      <c r="B20" s="78" t="s">
        <v>94</v>
      </c>
      <c r="C20" s="187">
        <v>8.108916816277677</v>
      </c>
      <c r="D20" s="188">
        <v>1.744405924992121</v>
      </c>
      <c r="E20" s="179">
        <v>2.002587416520852</v>
      </c>
      <c r="F20" s="179">
        <v>2.104564036710218</v>
      </c>
      <c r="G20" s="179">
        <v>2.524628224102912</v>
      </c>
      <c r="H20" s="179">
        <v>2.474707629478374</v>
      </c>
      <c r="I20" s="179">
        <v>2.4278051144254147</v>
      </c>
      <c r="J20" s="179">
        <v>2.5492186081819233</v>
      </c>
      <c r="K20" s="179">
        <v>1.8569279309019866</v>
      </c>
      <c r="L20" s="179">
        <v>1.927142646252478</v>
      </c>
      <c r="M20" s="179">
        <v>2.1715604184882094</v>
      </c>
    </row>
    <row r="21" spans="2:13" ht="13">
      <c r="B21" s="193" t="s">
        <v>30</v>
      </c>
      <c r="C21" s="187">
        <v>0.6996093890351756</v>
      </c>
      <c r="D21" s="188">
        <v>0.6775634030631593</v>
      </c>
      <c r="E21" s="179">
        <v>0.9703334582986362</v>
      </c>
      <c r="F21" s="179">
        <v>1.105812165461074</v>
      </c>
      <c r="G21" s="179">
        <v>1.2629192823489284</v>
      </c>
      <c r="H21" s="179">
        <v>1.4062772893181732</v>
      </c>
      <c r="I21" s="179">
        <v>1.5153930039426222</v>
      </c>
      <c r="J21" s="179">
        <v>1.7087612631848654</v>
      </c>
      <c r="K21" s="179">
        <v>2.6112369168266296</v>
      </c>
      <c r="L21" s="179">
        <v>1.750868793148715</v>
      </c>
      <c r="M21" s="179">
        <v>1.4611750962200312</v>
      </c>
    </row>
    <row r="22" spans="2:13" ht="13">
      <c r="B22" s="11" t="s">
        <v>31</v>
      </c>
      <c r="C22" s="187">
        <v>14.160719303175048</v>
      </c>
      <c r="D22" s="188">
        <v>12.835343443992656</v>
      </c>
      <c r="E22" s="179">
        <v>13.355524143905887</v>
      </c>
      <c r="F22" s="179">
        <v>12.19434116236293</v>
      </c>
      <c r="G22" s="179">
        <v>12.933352091779962</v>
      </c>
      <c r="H22" s="179">
        <v>13.076421805351485</v>
      </c>
      <c r="I22" s="179">
        <v>12.72400915552343</v>
      </c>
      <c r="J22" s="179">
        <v>12.679068480429976</v>
      </c>
      <c r="K22" s="179">
        <v>10.434379026410946</v>
      </c>
      <c r="L22" s="179">
        <v>10.123468018827166</v>
      </c>
      <c r="M22" s="179">
        <v>9.463196183607678</v>
      </c>
    </row>
    <row r="23" spans="2:13" ht="13">
      <c r="B23" s="78" t="s">
        <v>6</v>
      </c>
      <c r="C23" s="178">
        <v>1.7917100631942746</v>
      </c>
      <c r="D23" s="179">
        <v>1.8584340875815428</v>
      </c>
      <c r="E23" s="179">
        <v>2.188631767274459</v>
      </c>
      <c r="F23" s="179">
        <v>2.42156668927221</v>
      </c>
      <c r="G23" s="179">
        <v>2.919679609417585</v>
      </c>
      <c r="H23" s="179">
        <v>3.3498012815103237</v>
      </c>
      <c r="I23" s="179">
        <v>3.755124837203785</v>
      </c>
      <c r="J23" s="179">
        <v>4.1491726287397235</v>
      </c>
      <c r="K23" s="179">
        <v>3.2696396831360137</v>
      </c>
      <c r="L23" s="179">
        <v>3.036695812280062</v>
      </c>
      <c r="M23" s="179">
        <v>2.7266116920106818</v>
      </c>
    </row>
    <row r="24" spans="2:13" ht="13">
      <c r="B24" s="11" t="s">
        <v>224</v>
      </c>
      <c r="C24" s="178">
        <v>5.222905950034454</v>
      </c>
      <c r="D24" s="179">
        <v>5.112926402599025</v>
      </c>
      <c r="E24" s="179">
        <v>5.805226546343298</v>
      </c>
      <c r="F24" s="179">
        <v>2.6029486527707166</v>
      </c>
      <c r="G24" s="179">
        <v>2.582346308686877</v>
      </c>
      <c r="H24" s="179">
        <v>2.664857195731294</v>
      </c>
      <c r="I24" s="179">
        <v>2.723728926500966</v>
      </c>
      <c r="J24" s="179">
        <v>2.5064305017419337</v>
      </c>
      <c r="K24" s="179">
        <v>1.4924211468487927</v>
      </c>
      <c r="L24" s="179">
        <v>1.6763683156809088</v>
      </c>
      <c r="M24" s="179">
        <v>2.0265797487028503</v>
      </c>
    </row>
    <row r="25" spans="2:13" ht="13">
      <c r="B25" s="11" t="s">
        <v>32</v>
      </c>
      <c r="C25" s="178">
        <v>6.347637695805963</v>
      </c>
      <c r="D25" s="179">
        <v>5.253426185880748</v>
      </c>
      <c r="E25" s="179">
        <v>4.8573000180597194</v>
      </c>
      <c r="F25" s="179">
        <v>5.541458293831374</v>
      </c>
      <c r="G25" s="179">
        <v>4.651747652370055</v>
      </c>
      <c r="H25" s="179">
        <v>4.947974763425024</v>
      </c>
      <c r="I25" s="179">
        <v>5.253215037056813</v>
      </c>
      <c r="J25" s="179">
        <v>5.13046284987251</v>
      </c>
      <c r="K25" s="179">
        <v>4.041931897681858</v>
      </c>
      <c r="L25" s="179">
        <v>3.651207804878933</v>
      </c>
      <c r="M25" s="179">
        <v>3.499722499685156</v>
      </c>
    </row>
    <row r="26" spans="2:13" ht="13">
      <c r="B26" s="11" t="s">
        <v>33</v>
      </c>
      <c r="C26" s="178">
        <v>7.330061082024433</v>
      </c>
      <c r="D26" s="179">
        <v>6.8738166051466525</v>
      </c>
      <c r="E26" s="179">
        <v>6.4605559923159515</v>
      </c>
      <c r="F26" s="179">
        <v>6.49856530515277</v>
      </c>
      <c r="G26" s="179">
        <v>6.836049019020204</v>
      </c>
      <c r="H26" s="179">
        <v>7.212705401445072</v>
      </c>
      <c r="I26" s="179">
        <v>6.850334173419897</v>
      </c>
      <c r="J26" s="179">
        <v>6.535566284912853</v>
      </c>
      <c r="K26" s="179">
        <v>4.885083487714724</v>
      </c>
      <c r="L26" s="179">
        <v>4.671029616060973</v>
      </c>
      <c r="M26" s="179">
        <v>4.1750066493363285</v>
      </c>
    </row>
    <row r="27" spans="2:13" ht="13.15" customHeight="1">
      <c r="B27" s="193" t="s">
        <v>7</v>
      </c>
      <c r="C27" s="178">
        <v>1.5</v>
      </c>
      <c r="D27" s="179">
        <v>1.5</v>
      </c>
      <c r="E27" s="179">
        <v>1.4</v>
      </c>
      <c r="F27" s="179">
        <v>2</v>
      </c>
      <c r="G27" s="179">
        <v>2.2</v>
      </c>
      <c r="H27" s="179">
        <v>2.5</v>
      </c>
      <c r="I27" s="179">
        <v>2.7</v>
      </c>
      <c r="J27" s="179">
        <v>2.7</v>
      </c>
      <c r="K27" s="179">
        <v>2.1</v>
      </c>
      <c r="L27" s="179">
        <v>2.1110266539995046</v>
      </c>
      <c r="M27" s="179">
        <v>1.9645960283251533</v>
      </c>
    </row>
    <row r="28" spans="2:13" ht="13.15" customHeight="1">
      <c r="B28" s="11" t="s">
        <v>207</v>
      </c>
      <c r="C28" s="187">
        <v>2.582812866870157</v>
      </c>
      <c r="D28" s="188">
        <v>2.8500202658453726</v>
      </c>
      <c r="E28" s="179">
        <v>3.673511509911919</v>
      </c>
      <c r="F28" s="179">
        <v>4.761671857264179</v>
      </c>
      <c r="G28" s="179">
        <v>5.620415036073554</v>
      </c>
      <c r="H28" s="179">
        <v>4.428070755209239</v>
      </c>
      <c r="I28" s="179">
        <v>4.318385302206903</v>
      </c>
      <c r="J28" s="179">
        <v>4.10251500379944</v>
      </c>
      <c r="K28" s="179">
        <v>2.609970637605748</v>
      </c>
      <c r="L28" s="179">
        <v>2.603413246070584</v>
      </c>
      <c r="M28" s="179">
        <v>2.7386986154393536</v>
      </c>
    </row>
    <row r="29" spans="2:13" ht="13">
      <c r="B29" s="11" t="s">
        <v>8</v>
      </c>
      <c r="C29" s="187">
        <v>1.4885001114330287</v>
      </c>
      <c r="D29" s="188">
        <v>1.2287942483058825</v>
      </c>
      <c r="E29" s="179">
        <v>1.429935503642948</v>
      </c>
      <c r="F29" s="179">
        <v>1.5746667496919047</v>
      </c>
      <c r="G29" s="179">
        <v>1.7392844083872903</v>
      </c>
      <c r="H29" s="179">
        <v>1.7817529743119347</v>
      </c>
      <c r="I29" s="179">
        <v>2.0289851927986144</v>
      </c>
      <c r="J29" s="179">
        <v>2.340495067060854</v>
      </c>
      <c r="K29" s="179">
        <v>1.7365460261881955</v>
      </c>
      <c r="L29" s="179">
        <v>1.5925552345744123</v>
      </c>
      <c r="M29" s="179">
        <v>1.644258635460115</v>
      </c>
    </row>
    <row r="30" spans="2:13" ht="13">
      <c r="B30" s="11" t="s">
        <v>35</v>
      </c>
      <c r="C30" s="187">
        <v>4.662157725392343</v>
      </c>
      <c r="D30" s="188">
        <v>4.871413908014191</v>
      </c>
      <c r="E30" s="179">
        <v>5.062516263214154</v>
      </c>
      <c r="F30" s="179">
        <v>5.6239843446549065</v>
      </c>
      <c r="G30" s="179">
        <v>5.918617302145053</v>
      </c>
      <c r="H30" s="179">
        <v>6.483113955641429</v>
      </c>
      <c r="I30" s="179">
        <v>6.5186545947600925</v>
      </c>
      <c r="J30" s="179">
        <v>6.239214807988186</v>
      </c>
      <c r="K30" s="179">
        <v>4.558593649898778</v>
      </c>
      <c r="L30" s="179">
        <v>4.491797517690845</v>
      </c>
      <c r="M30" s="179">
        <v>3.7821412455340693</v>
      </c>
    </row>
    <row r="31" spans="2:13" ht="13">
      <c r="B31" s="11" t="s">
        <v>85</v>
      </c>
      <c r="C31" s="187">
        <v>7.171253152066659</v>
      </c>
      <c r="D31" s="188">
        <v>3.4826045323970636</v>
      </c>
      <c r="E31" s="179">
        <v>3.678261761838798</v>
      </c>
      <c r="F31" s="179">
        <v>3.842573433062646</v>
      </c>
      <c r="G31" s="179">
        <v>4.171226530252515</v>
      </c>
      <c r="H31" s="179">
        <v>4.332295601176186</v>
      </c>
      <c r="I31" s="179">
        <v>4.247142497786018</v>
      </c>
      <c r="J31" s="179">
        <v>4.250667515605305</v>
      </c>
      <c r="K31" s="179">
        <v>3.127067122516277</v>
      </c>
      <c r="L31" s="179">
        <v>3.032589264406183</v>
      </c>
      <c r="M31" s="179">
        <v>3.0780386234974024</v>
      </c>
    </row>
    <row r="32" spans="2:13" ht="13">
      <c r="B32" s="14" t="s">
        <v>10</v>
      </c>
      <c r="C32" s="189">
        <v>3.676786302271979</v>
      </c>
      <c r="D32" s="190">
        <v>3.330828370093186</v>
      </c>
      <c r="E32" s="184">
        <v>3.3483729337621955</v>
      </c>
      <c r="F32" s="184">
        <v>3.3639477442609573</v>
      </c>
      <c r="G32" s="184">
        <v>3.5814549254335066</v>
      </c>
      <c r="H32" s="184">
        <v>3.488943749178052</v>
      </c>
      <c r="I32" s="184">
        <v>3.4722592405086634</v>
      </c>
      <c r="J32" s="184">
        <v>3.2171362748862404</v>
      </c>
      <c r="K32" s="184">
        <v>2.6726866657556094</v>
      </c>
      <c r="L32" s="184">
        <v>2.704493603241713</v>
      </c>
      <c r="M32" s="184">
        <v>2.2238856753997958</v>
      </c>
    </row>
    <row r="33" spans="2:13" ht="13">
      <c r="B33" s="17" t="s">
        <v>36</v>
      </c>
      <c r="C33" s="180">
        <v>6.776706012056184</v>
      </c>
      <c r="D33" s="181">
        <v>6.500201016272418</v>
      </c>
      <c r="E33" s="182">
        <v>7.067621056158174</v>
      </c>
      <c r="F33" s="182">
        <v>7.752521173833002</v>
      </c>
      <c r="G33" s="182">
        <v>8.138780708926843</v>
      </c>
      <c r="H33" s="182">
        <v>8.105910164313537</v>
      </c>
      <c r="I33" s="182">
        <v>7.505432774966792</v>
      </c>
      <c r="J33" s="182">
        <v>7.508436468461153</v>
      </c>
      <c r="K33" s="182">
        <v>5.942819897586488</v>
      </c>
      <c r="L33" s="182">
        <v>6.095212194034512</v>
      </c>
      <c r="M33" s="182">
        <v>5.819134693411994</v>
      </c>
    </row>
    <row r="34" spans="2:13" ht="13">
      <c r="B34" s="14" t="s">
        <v>80</v>
      </c>
      <c r="C34" s="183" t="s">
        <v>13</v>
      </c>
      <c r="D34" s="184" t="s">
        <v>13</v>
      </c>
      <c r="E34" s="184" t="s">
        <v>13</v>
      </c>
      <c r="F34" s="184" t="s">
        <v>13</v>
      </c>
      <c r="G34" s="184" t="s">
        <v>13</v>
      </c>
      <c r="H34" s="184">
        <v>10.073901205756515</v>
      </c>
      <c r="I34" s="184">
        <v>7.9363061611338965</v>
      </c>
      <c r="J34" s="184">
        <v>5.05364588158992</v>
      </c>
      <c r="K34" s="184">
        <v>3.939691782727222</v>
      </c>
      <c r="L34" s="184">
        <v>5.462308445523965</v>
      </c>
      <c r="M34" s="184" t="s">
        <v>13</v>
      </c>
    </row>
    <row r="35" spans="2:13" ht="13">
      <c r="B35" s="11" t="s">
        <v>42</v>
      </c>
      <c r="C35" s="178">
        <v>7.5285714285714285</v>
      </c>
      <c r="D35" s="179">
        <v>6.832740213523132</v>
      </c>
      <c r="E35" s="179">
        <v>6.322444678609063</v>
      </c>
      <c r="F35" s="179">
        <v>7.114089299354212</v>
      </c>
      <c r="G35" s="179">
        <v>6.784993673266988</v>
      </c>
      <c r="H35" s="179">
        <v>6.820556023588879</v>
      </c>
      <c r="I35" s="179">
        <v>6.173828842365355</v>
      </c>
      <c r="J35" s="179">
        <v>6.456411782207676</v>
      </c>
      <c r="K35" s="179">
        <v>4.961230122223682</v>
      </c>
      <c r="L35" s="179">
        <v>5.327264988048852</v>
      </c>
      <c r="M35" s="179">
        <v>4.970807919371147</v>
      </c>
    </row>
    <row r="36" spans="2:13" ht="13">
      <c r="B36" s="11" t="s">
        <v>37</v>
      </c>
      <c r="C36" s="178">
        <v>7.033483422022104</v>
      </c>
      <c r="D36" s="179">
        <v>6.000083991096944</v>
      </c>
      <c r="E36" s="179">
        <v>5.868375854988743</v>
      </c>
      <c r="F36" s="179">
        <v>6.075747126436781</v>
      </c>
      <c r="G36" s="179">
        <v>6.023635796928923</v>
      </c>
      <c r="H36" s="179">
        <v>6.166516388197967</v>
      </c>
      <c r="I36" s="179">
        <v>5.77180027682199</v>
      </c>
      <c r="J36" s="179">
        <v>5.307781499981436</v>
      </c>
      <c r="K36" s="179">
        <v>5.366585311918738</v>
      </c>
      <c r="L36" s="179">
        <v>6.081175356018388</v>
      </c>
      <c r="M36" s="179">
        <v>5.9913977012834545</v>
      </c>
    </row>
    <row r="37" spans="2:13" ht="13">
      <c r="B37" s="14" t="s">
        <v>38</v>
      </c>
      <c r="C37" s="183">
        <v>7.849588719153937</v>
      </c>
      <c r="D37" s="184">
        <v>7.177837085388529</v>
      </c>
      <c r="E37" s="184">
        <v>6.936166679377584</v>
      </c>
      <c r="F37" s="184">
        <v>7.3407071971909765</v>
      </c>
      <c r="G37" s="184">
        <v>7.067539091274597</v>
      </c>
      <c r="H37" s="184">
        <v>6.906290941747116</v>
      </c>
      <c r="I37" s="184">
        <v>6.550145533549437</v>
      </c>
      <c r="J37" s="184">
        <v>6.789102573527924</v>
      </c>
      <c r="K37" s="184">
        <v>5.186629730071742</v>
      </c>
      <c r="L37" s="184">
        <v>5.262960479443443</v>
      </c>
      <c r="M37" s="184">
        <v>4.9190965273299065</v>
      </c>
    </row>
    <row r="38" spans="2:13" ht="13">
      <c r="B38" s="79" t="s">
        <v>78</v>
      </c>
      <c r="C38" s="191" t="s">
        <v>13</v>
      </c>
      <c r="D38" s="192">
        <v>0.7814365268340528</v>
      </c>
      <c r="E38" s="192">
        <v>0.7471017926192444</v>
      </c>
      <c r="F38" s="192">
        <v>0.6901395510768547</v>
      </c>
      <c r="G38" s="192">
        <v>0.8663042530306114</v>
      </c>
      <c r="H38" s="192">
        <v>0.9245763585236223</v>
      </c>
      <c r="I38" s="192">
        <v>0.4150230737598806</v>
      </c>
      <c r="J38" s="192">
        <v>0.9241091343077646</v>
      </c>
      <c r="K38" s="192">
        <v>0.6946691484669757</v>
      </c>
      <c r="L38" s="192">
        <v>0.7463301450445896</v>
      </c>
      <c r="M38" s="192">
        <v>0.7918365399714951</v>
      </c>
    </row>
    <row r="39" spans="2:13" ht="13">
      <c r="B39" s="11" t="s">
        <v>79</v>
      </c>
      <c r="C39" s="178" t="s">
        <v>13</v>
      </c>
      <c r="D39" s="179" t="s">
        <v>13</v>
      </c>
      <c r="E39" s="179">
        <v>1.0708151177954075</v>
      </c>
      <c r="F39" s="179">
        <v>1.2602892355268542</v>
      </c>
      <c r="G39" s="179">
        <v>1.2450333993742353</v>
      </c>
      <c r="H39" s="179">
        <v>1.5415903375042692</v>
      </c>
      <c r="I39" s="179">
        <v>1.5620988796481523</v>
      </c>
      <c r="J39" s="179">
        <v>1.4663308236870236</v>
      </c>
      <c r="K39" s="179">
        <v>1.894694759486562</v>
      </c>
      <c r="L39" s="179">
        <v>1.3504663399652221</v>
      </c>
      <c r="M39" s="179">
        <v>1.0710709831544556</v>
      </c>
    </row>
    <row r="40" spans="2:13" ht="13">
      <c r="B40" s="14" t="s">
        <v>153</v>
      </c>
      <c r="C40" s="178">
        <v>5.606731232744642</v>
      </c>
      <c r="D40" s="179">
        <v>6.092897295966518</v>
      </c>
      <c r="E40" s="179">
        <v>4.846837742239461</v>
      </c>
      <c r="F40" s="179">
        <v>3.2145304097860943</v>
      </c>
      <c r="G40" s="179">
        <v>3.14714666383799</v>
      </c>
      <c r="H40" s="179">
        <v>7.179669420644462</v>
      </c>
      <c r="I40" s="179">
        <v>4.378891050583658</v>
      </c>
      <c r="J40" s="179">
        <v>5.045315823545732</v>
      </c>
      <c r="K40" s="179">
        <v>4.4769578113240955</v>
      </c>
      <c r="L40" s="179">
        <v>5.721949600087041</v>
      </c>
      <c r="M40" s="179">
        <v>4.208078072844752</v>
      </c>
    </row>
    <row r="41" spans="2:13" ht="13">
      <c r="B41" s="11" t="s">
        <v>58</v>
      </c>
      <c r="C41" s="178">
        <v>10.8841059602649</v>
      </c>
      <c r="D41" s="179">
        <v>9.206223795984982</v>
      </c>
      <c r="E41" s="179">
        <v>8.01348233539463</v>
      </c>
      <c r="F41" s="179">
        <v>7.63561236266814</v>
      </c>
      <c r="G41" s="179">
        <v>7.7033124522072045</v>
      </c>
      <c r="H41" s="179">
        <v>6.597556258616073</v>
      </c>
      <c r="I41" s="179">
        <v>7.96796623155095</v>
      </c>
      <c r="J41" s="179">
        <v>9.204896196411177</v>
      </c>
      <c r="K41" s="179">
        <v>6.978629810156665</v>
      </c>
      <c r="L41" s="179">
        <v>8.25143359424051</v>
      </c>
      <c r="M41" s="179">
        <v>5.795045110262636</v>
      </c>
    </row>
    <row r="42" spans="2:13" ht="13">
      <c r="B42" s="14" t="s">
        <v>154</v>
      </c>
      <c r="C42" s="183" t="s">
        <v>13</v>
      </c>
      <c r="D42" s="184" t="s">
        <v>13</v>
      </c>
      <c r="E42" s="184" t="s">
        <v>13</v>
      </c>
      <c r="F42" s="184" t="s">
        <v>13</v>
      </c>
      <c r="G42" s="184" t="s">
        <v>13</v>
      </c>
      <c r="H42" s="184">
        <v>0.26503730028794054</v>
      </c>
      <c r="I42" s="184">
        <v>0.31612747527260465</v>
      </c>
      <c r="J42" s="184">
        <v>0.2013326947154369</v>
      </c>
      <c r="K42" s="184">
        <v>0.2013326947154369</v>
      </c>
      <c r="L42" s="184">
        <v>0.2805192014642929</v>
      </c>
      <c r="M42" s="184">
        <v>0.40652297203626075</v>
      </c>
    </row>
    <row r="43" spans="2:13" ht="13">
      <c r="B43" s="14" t="s">
        <v>77</v>
      </c>
      <c r="C43" s="183" t="s">
        <v>13</v>
      </c>
      <c r="D43" s="184" t="s">
        <v>13</v>
      </c>
      <c r="E43" s="184" t="s">
        <v>13</v>
      </c>
      <c r="F43" s="184" t="s">
        <v>13</v>
      </c>
      <c r="G43" s="184" t="s">
        <v>13</v>
      </c>
      <c r="H43" s="184" t="s">
        <v>13</v>
      </c>
      <c r="I43" s="184" t="s">
        <v>13</v>
      </c>
      <c r="J43" s="184">
        <v>8.54320542845133</v>
      </c>
      <c r="K43" s="190">
        <v>8.092908765016302</v>
      </c>
      <c r="L43" s="184">
        <v>9.811218985976268</v>
      </c>
      <c r="M43" s="184">
        <v>7.735474577676152</v>
      </c>
    </row>
    <row r="44" spans="2:13" ht="13">
      <c r="B44" s="14" t="s">
        <v>64</v>
      </c>
      <c r="C44" s="183" t="s">
        <v>13</v>
      </c>
      <c r="D44" s="184" t="s">
        <v>13</v>
      </c>
      <c r="E44" s="184" t="s">
        <v>13</v>
      </c>
      <c r="F44" s="184" t="s">
        <v>13</v>
      </c>
      <c r="G44" s="184" t="s">
        <v>13</v>
      </c>
      <c r="H44" s="184" t="s">
        <v>13</v>
      </c>
      <c r="I44" s="184" t="s">
        <v>13</v>
      </c>
      <c r="J44" s="184" t="s">
        <v>13</v>
      </c>
      <c r="K44" s="184">
        <v>1.0423509043254444</v>
      </c>
      <c r="L44" s="190">
        <f>ROUND(24910*100/2235794,1)</f>
        <v>1.1</v>
      </c>
      <c r="M44" s="184">
        <v>1.022246863954536</v>
      </c>
    </row>
    <row r="45" spans="2:13" ht="13">
      <c r="B45" s="14" t="s">
        <v>92</v>
      </c>
      <c r="C45" s="183">
        <v>6.541783444792852</v>
      </c>
      <c r="D45" s="184">
        <v>7.05418388325711</v>
      </c>
      <c r="E45" s="184">
        <v>5.942575077995702</v>
      </c>
      <c r="F45" s="184">
        <v>7.0485527092017195</v>
      </c>
      <c r="G45" s="184">
        <v>6.591925533119904</v>
      </c>
      <c r="H45" s="184">
        <v>6.164035859819617</v>
      </c>
      <c r="I45" s="184">
        <v>4.244450197972446</v>
      </c>
      <c r="J45" s="184">
        <v>3.0932294994604916</v>
      </c>
      <c r="K45" s="184">
        <v>4.592130065094079</v>
      </c>
      <c r="L45" s="184">
        <v>4.480038581460105</v>
      </c>
      <c r="M45" s="184">
        <v>3.9685053673074995</v>
      </c>
    </row>
    <row r="46" spans="2:13" ht="13">
      <c r="B46" s="17" t="s">
        <v>157</v>
      </c>
      <c r="C46" s="183" t="s">
        <v>13</v>
      </c>
      <c r="D46" s="184" t="s">
        <v>13</v>
      </c>
      <c r="E46" s="184" t="s">
        <v>13</v>
      </c>
      <c r="F46" s="184" t="s">
        <v>13</v>
      </c>
      <c r="G46" s="184" t="s">
        <v>13</v>
      </c>
      <c r="H46" s="184" t="s">
        <v>13</v>
      </c>
      <c r="I46" s="184" t="s">
        <v>13</v>
      </c>
      <c r="J46" s="184" t="s">
        <v>13</v>
      </c>
      <c r="K46" s="184" t="s">
        <v>13</v>
      </c>
      <c r="L46" s="184" t="s">
        <v>13</v>
      </c>
      <c r="M46" s="184" t="s">
        <v>13</v>
      </c>
    </row>
    <row r="47" spans="2:13" ht="13">
      <c r="B47" s="227" t="s">
        <v>71</v>
      </c>
      <c r="C47" s="236" t="s">
        <v>13</v>
      </c>
      <c r="D47" s="237" t="s">
        <v>13</v>
      </c>
      <c r="E47" s="237" t="s">
        <v>13</v>
      </c>
      <c r="F47" s="237" t="s">
        <v>13</v>
      </c>
      <c r="G47" s="237" t="s">
        <v>13</v>
      </c>
      <c r="H47" s="237">
        <v>11.554939292126642</v>
      </c>
      <c r="I47" s="237">
        <v>3.831360946745562</v>
      </c>
      <c r="J47" s="237">
        <v>7.297687627823423</v>
      </c>
      <c r="K47" s="237" t="s">
        <v>13</v>
      </c>
      <c r="L47" s="237">
        <v>8.419868547045098</v>
      </c>
      <c r="M47" s="237" t="s">
        <v>13</v>
      </c>
    </row>
    <row r="48" spans="2:13" ht="13">
      <c r="B48" s="4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2:13" ht="15" customHeight="1">
      <c r="B49" s="1" t="s">
        <v>50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9" ht="15" customHeight="1">
      <c r="B50" s="1" t="s">
        <v>172</v>
      </c>
      <c r="I50" s="22"/>
      <c r="L50" s="1"/>
      <c r="S50" s="22"/>
    </row>
    <row r="51" spans="2:19" ht="15" customHeight="1">
      <c r="B51" s="1" t="s">
        <v>173</v>
      </c>
      <c r="I51" s="22"/>
      <c r="L51" s="1"/>
      <c r="S51" s="22"/>
    </row>
    <row r="52" spans="2:19" ht="15" customHeight="1">
      <c r="B52" s="1" t="s">
        <v>175</v>
      </c>
      <c r="I52" s="22"/>
      <c r="L52" s="1"/>
      <c r="S52" s="22"/>
    </row>
    <row r="53" spans="2:19" ht="15" customHeight="1">
      <c r="B53" s="1" t="s">
        <v>223</v>
      </c>
      <c r="I53" s="22"/>
      <c r="L53" s="1"/>
      <c r="S53" s="22"/>
    </row>
    <row r="54" spans="2:19" ht="15" customHeight="1">
      <c r="B54" s="210" t="s">
        <v>227</v>
      </c>
      <c r="C54" s="194"/>
      <c r="D54" s="194"/>
      <c r="E54" s="194"/>
      <c r="F54" s="194"/>
      <c r="G54" s="194"/>
      <c r="H54" s="194"/>
      <c r="I54" s="195"/>
      <c r="L54" s="1"/>
      <c r="S54" s="22"/>
    </row>
    <row r="55" spans="2:14" ht="15" customHeight="1">
      <c r="B55" s="1" t="s">
        <v>107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</row>
    <row r="56" spans="2:14" ht="15" customHeight="1">
      <c r="B56" s="1" t="s">
        <v>105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</row>
    <row r="57" spans="2:9" ht="15" customHeight="1">
      <c r="B57" s="83" t="s">
        <v>146</v>
      </c>
      <c r="C57" s="81"/>
      <c r="D57" s="81"/>
      <c r="E57" s="81"/>
      <c r="F57" s="81"/>
      <c r="G57" s="81"/>
      <c r="H57" s="81"/>
      <c r="I57" s="81"/>
    </row>
    <row r="58" ht="15">
      <c r="B58" s="81"/>
    </row>
    <row r="68" spans="2:3" ht="13">
      <c r="B68" s="24"/>
      <c r="C68" s="3">
        <v>2022</v>
      </c>
    </row>
    <row r="69" spans="2:3" ht="13">
      <c r="B69" s="8" t="s">
        <v>31</v>
      </c>
      <c r="C69" s="22">
        <v>9.463196183607678</v>
      </c>
    </row>
    <row r="70" spans="2:3" ht="13">
      <c r="B70" s="11" t="s">
        <v>23</v>
      </c>
      <c r="C70" s="22">
        <v>6.298416522361827</v>
      </c>
    </row>
    <row r="71" spans="2:3" ht="13">
      <c r="B71" s="11" t="s">
        <v>36</v>
      </c>
      <c r="C71" s="22">
        <v>5.819134693411994</v>
      </c>
    </row>
    <row r="72" spans="2:3" ht="13">
      <c r="B72" s="11" t="s">
        <v>57</v>
      </c>
      <c r="C72" s="22">
        <v>5.4372270832357525</v>
      </c>
    </row>
    <row r="73" spans="2:3" ht="13">
      <c r="B73" s="11" t="s">
        <v>24</v>
      </c>
      <c r="C73" s="22">
        <v>5.329559069443314</v>
      </c>
    </row>
    <row r="74" spans="2:3" ht="13">
      <c r="B74" s="11" t="s">
        <v>25</v>
      </c>
      <c r="C74" s="22">
        <v>4.608736986805874</v>
      </c>
    </row>
    <row r="75" spans="2:3" ht="13">
      <c r="B75" s="11" t="s">
        <v>33</v>
      </c>
      <c r="C75" s="22">
        <v>4.1750066493363285</v>
      </c>
    </row>
    <row r="76" spans="2:3" ht="13">
      <c r="B76" s="11" t="s">
        <v>4</v>
      </c>
      <c r="C76" s="22">
        <v>4.058395184001685</v>
      </c>
    </row>
    <row r="77" spans="2:3" ht="13">
      <c r="B77" s="11" t="s">
        <v>35</v>
      </c>
      <c r="C77" s="22">
        <v>3.7821412455340693</v>
      </c>
    </row>
    <row r="78" spans="2:3" ht="13">
      <c r="B78" s="11" t="s">
        <v>32</v>
      </c>
      <c r="C78" s="22">
        <v>3.499722499685156</v>
      </c>
    </row>
    <row r="79" spans="2:3" ht="13">
      <c r="B79" s="11" t="s">
        <v>174</v>
      </c>
      <c r="C79" s="22">
        <v>3.274963325970137</v>
      </c>
    </row>
    <row r="80" spans="2:3" ht="13">
      <c r="B80" s="11" t="s">
        <v>27</v>
      </c>
      <c r="C80" s="22">
        <v>3.2005626811140173</v>
      </c>
    </row>
    <row r="81" spans="2:3" ht="13">
      <c r="B81" s="11" t="s">
        <v>85</v>
      </c>
      <c r="C81" s="22">
        <v>3.0780386234974024</v>
      </c>
    </row>
    <row r="82" spans="2:3" ht="13">
      <c r="B82" s="11" t="s">
        <v>56</v>
      </c>
      <c r="C82" s="22">
        <v>2.8170925988124833</v>
      </c>
    </row>
    <row r="83" spans="2:3" ht="13">
      <c r="B83" s="11" t="s">
        <v>206</v>
      </c>
      <c r="C83" s="22">
        <v>2.7386986154393536</v>
      </c>
    </row>
    <row r="84" spans="2:3" ht="13">
      <c r="B84" s="11" t="s">
        <v>6</v>
      </c>
      <c r="C84" s="22">
        <v>2.7266116920106818</v>
      </c>
    </row>
    <row r="85" spans="2:3" ht="13">
      <c r="B85" s="11" t="s">
        <v>3</v>
      </c>
      <c r="C85" s="22">
        <v>2.4205987561433377</v>
      </c>
    </row>
    <row r="86" spans="2:3" ht="13">
      <c r="B86" s="11" t="s">
        <v>10</v>
      </c>
      <c r="C86" s="22">
        <v>2.2238856753997958</v>
      </c>
    </row>
    <row r="87" spans="2:3" ht="13">
      <c r="B87" s="11" t="s">
        <v>94</v>
      </c>
      <c r="C87" s="22">
        <v>2.1715604184882094</v>
      </c>
    </row>
    <row r="88" spans="2:3" ht="13">
      <c r="B88" s="11" t="s">
        <v>95</v>
      </c>
      <c r="C88" s="22">
        <v>2.0265797487028503</v>
      </c>
    </row>
    <row r="89" spans="2:3" ht="13">
      <c r="B89" s="11" t="s">
        <v>88</v>
      </c>
      <c r="C89" s="22">
        <v>2.012421995831086</v>
      </c>
    </row>
    <row r="90" spans="2:3" ht="13">
      <c r="B90" s="11" t="s">
        <v>205</v>
      </c>
      <c r="C90" s="22">
        <v>1.9645960283251533</v>
      </c>
    </row>
    <row r="91" spans="2:3" ht="13">
      <c r="B91" s="11" t="s">
        <v>84</v>
      </c>
      <c r="C91" s="22">
        <v>1.925869735548491</v>
      </c>
    </row>
    <row r="92" spans="2:3" ht="13">
      <c r="B92" s="11" t="s">
        <v>67</v>
      </c>
      <c r="C92" s="22">
        <v>1.8375616397590504</v>
      </c>
    </row>
    <row r="93" spans="2:3" ht="13">
      <c r="B93" s="11" t="s">
        <v>8</v>
      </c>
      <c r="C93" s="22">
        <v>1.644258635460115</v>
      </c>
    </row>
    <row r="94" spans="2:3" ht="13">
      <c r="B94" s="14" t="s">
        <v>30</v>
      </c>
      <c r="C94" s="22">
        <v>1.4611750962200312</v>
      </c>
    </row>
    <row r="95" spans="2:3" ht="13">
      <c r="B95" s="17" t="s">
        <v>83</v>
      </c>
      <c r="C95" s="22">
        <v>0.9861994899849039</v>
      </c>
    </row>
    <row r="96" spans="2:3" ht="13">
      <c r="B96" s="4"/>
      <c r="C96" s="22"/>
    </row>
    <row r="97" spans="2:3" ht="13">
      <c r="B97" s="4" t="s">
        <v>80</v>
      </c>
      <c r="C97" s="22">
        <v>5.462308445523965</v>
      </c>
    </row>
    <row r="98" spans="2:3" ht="13">
      <c r="B98" s="4" t="s">
        <v>42</v>
      </c>
      <c r="C98" s="22">
        <v>5.327264988048852</v>
      </c>
    </row>
    <row r="99" spans="2:3" ht="15">
      <c r="B99" s="3" t="s">
        <v>37</v>
      </c>
      <c r="C99" s="22">
        <v>6.081175356018388</v>
      </c>
    </row>
    <row r="100" spans="2:3" ht="15">
      <c r="B100" s="3" t="s">
        <v>38</v>
      </c>
      <c r="C100" s="22">
        <v>5.262960479443443</v>
      </c>
    </row>
    <row r="101" ht="15">
      <c r="C101" s="22"/>
    </row>
    <row r="102" spans="2:3" ht="15">
      <c r="B102" s="3" t="s">
        <v>78</v>
      </c>
      <c r="C102" s="22">
        <v>0.7463301450445896</v>
      </c>
    </row>
    <row r="103" spans="2:3" ht="15">
      <c r="B103" s="3" t="s">
        <v>79</v>
      </c>
      <c r="C103" s="22">
        <v>1.3504663399652221</v>
      </c>
    </row>
    <row r="104" spans="2:3" ht="15">
      <c r="B104" s="3" t="s">
        <v>58</v>
      </c>
      <c r="C104" s="22">
        <v>8.25143359424051</v>
      </c>
    </row>
    <row r="105" spans="2:3" ht="15">
      <c r="B105" s="3" t="s">
        <v>77</v>
      </c>
      <c r="C105" s="22">
        <v>9.811218985976268</v>
      </c>
    </row>
    <row r="106" spans="2:3" ht="15">
      <c r="B106" s="3" t="s">
        <v>64</v>
      </c>
      <c r="C106" s="22" t="s">
        <v>13</v>
      </c>
    </row>
    <row r="107" spans="2:3" ht="15">
      <c r="B107" s="3" t="s">
        <v>92</v>
      </c>
      <c r="C107" s="22" t="s">
        <v>13</v>
      </c>
    </row>
    <row r="108" spans="2:3" ht="15">
      <c r="B108" s="3" t="s">
        <v>71</v>
      </c>
      <c r="C108" s="22">
        <v>8.419868547045098</v>
      </c>
    </row>
  </sheetData>
  <autoFilter ref="B67:C95">
    <sortState ref="B68:C108">
      <sortCondition descending="1" sortBy="value" ref="C68:C10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P88"/>
  <sheetViews>
    <sheetView showGridLines="0" workbookViewId="0" topLeftCell="A1">
      <selection activeCell="B2" sqref="B2:M58"/>
    </sheetView>
  </sheetViews>
  <sheetFormatPr defaultColWidth="9.28125" defaultRowHeight="15"/>
  <cols>
    <col min="1" max="1" width="9.28125" style="3" customWidth="1"/>
    <col min="2" max="2" width="26.00390625" style="3" customWidth="1"/>
    <col min="3" max="13" width="8.7109375" style="3" customWidth="1"/>
    <col min="14" max="16384" width="9.28125" style="3" customWidth="1"/>
  </cols>
  <sheetData>
    <row r="2" ht="13">
      <c r="B2" s="4" t="s">
        <v>176</v>
      </c>
    </row>
    <row r="3" ht="15">
      <c r="B3" s="1" t="s">
        <v>68</v>
      </c>
    </row>
    <row r="5" spans="2:13" ht="13">
      <c r="B5" s="84"/>
      <c r="C5" s="85">
        <v>2012</v>
      </c>
      <c r="D5" s="86">
        <v>2013</v>
      </c>
      <c r="E5" s="86">
        <v>2014</v>
      </c>
      <c r="F5" s="86">
        <v>2015</v>
      </c>
      <c r="G5" s="86">
        <v>2016</v>
      </c>
      <c r="H5" s="86">
        <v>2017</v>
      </c>
      <c r="I5" s="86">
        <v>2018</v>
      </c>
      <c r="J5" s="86">
        <v>2019</v>
      </c>
      <c r="K5" s="86">
        <v>2020</v>
      </c>
      <c r="L5" s="86">
        <v>2021</v>
      </c>
      <c r="M5" s="86">
        <v>2022</v>
      </c>
    </row>
    <row r="6" spans="2:16" ht="13">
      <c r="B6" s="8" t="s">
        <v>23</v>
      </c>
      <c r="C6" s="87" t="s">
        <v>13</v>
      </c>
      <c r="D6" s="88">
        <v>70.15573069644142</v>
      </c>
      <c r="E6" s="88">
        <v>70.92102586445787</v>
      </c>
      <c r="F6" s="88">
        <v>72.08474636059374</v>
      </c>
      <c r="G6" s="88">
        <v>74.23355054257382</v>
      </c>
      <c r="H6" s="88">
        <v>76.69545765708371</v>
      </c>
      <c r="I6" s="88">
        <v>79.1169740978126</v>
      </c>
      <c r="J6" s="88">
        <v>81.42207726835636</v>
      </c>
      <c r="K6" s="88">
        <v>83.35589977712229</v>
      </c>
      <c r="L6" s="88">
        <v>86.1041884385472</v>
      </c>
      <c r="M6" s="88">
        <v>86.40842264486011</v>
      </c>
      <c r="N6" s="22"/>
      <c r="O6" s="22"/>
      <c r="P6" s="67"/>
    </row>
    <row r="7" spans="2:16" ht="13">
      <c r="B7" s="11" t="s">
        <v>1</v>
      </c>
      <c r="C7" s="89">
        <v>50.384567232137265</v>
      </c>
      <c r="D7" s="90">
        <v>53.54351291121589</v>
      </c>
      <c r="E7" s="90">
        <v>57.187403067785695</v>
      </c>
      <c r="F7" s="90">
        <v>62.1197117497537</v>
      </c>
      <c r="G7" s="90">
        <v>64.33202912082598</v>
      </c>
      <c r="H7" s="90">
        <v>60.03474593172175</v>
      </c>
      <c r="I7" s="90">
        <v>62.6179368429233</v>
      </c>
      <c r="J7" s="90">
        <v>65.09158766432826</v>
      </c>
      <c r="K7" s="90">
        <v>66.71406025086503</v>
      </c>
      <c r="L7" s="90">
        <v>67.04462988911874</v>
      </c>
      <c r="M7" s="90">
        <v>67.94527392284905</v>
      </c>
      <c r="N7" s="22"/>
      <c r="O7" s="22"/>
      <c r="P7" s="67"/>
    </row>
    <row r="8" spans="2:16" ht="13">
      <c r="B8" s="11" t="s">
        <v>56</v>
      </c>
      <c r="C8" s="89">
        <v>57.45034411439575</v>
      </c>
      <c r="D8" s="90">
        <v>57.17665933977708</v>
      </c>
      <c r="E8" s="90" t="s">
        <v>13</v>
      </c>
      <c r="F8" s="90">
        <v>61.785550533582885</v>
      </c>
      <c r="G8" s="90">
        <v>63.54139686656923</v>
      </c>
      <c r="H8" s="90">
        <v>65.36252639595176</v>
      </c>
      <c r="I8" s="90">
        <v>66.72632349903284</v>
      </c>
      <c r="J8" s="90">
        <v>67.67179053480668</v>
      </c>
      <c r="K8" s="90">
        <v>69.72924588816824</v>
      </c>
      <c r="L8" s="90">
        <v>69.95107879301001</v>
      </c>
      <c r="M8" s="90">
        <v>68.86836129664951</v>
      </c>
      <c r="N8" s="22"/>
      <c r="O8" s="22"/>
      <c r="P8" s="67"/>
    </row>
    <row r="9" spans="2:16" ht="13">
      <c r="B9" s="11" t="s">
        <v>24</v>
      </c>
      <c r="C9" s="89" t="s">
        <v>13</v>
      </c>
      <c r="D9" s="90">
        <v>78.93450335733269</v>
      </c>
      <c r="E9" s="90">
        <v>77.62228310082752</v>
      </c>
      <c r="F9" s="90">
        <v>76.5841558396503</v>
      </c>
      <c r="G9" s="90">
        <v>76.35843430132608</v>
      </c>
      <c r="H9" s="90">
        <v>75.75239699784993</v>
      </c>
      <c r="I9" s="90">
        <v>74.42610600851073</v>
      </c>
      <c r="J9" s="90">
        <v>72.59062407314191</v>
      </c>
      <c r="K9" s="90">
        <v>71.68044081852109</v>
      </c>
      <c r="L9" s="90">
        <v>70.93260825890196</v>
      </c>
      <c r="M9" s="90">
        <v>68.87466217361725</v>
      </c>
      <c r="N9" s="22"/>
      <c r="O9" s="22"/>
      <c r="P9" s="67"/>
    </row>
    <row r="10" spans="2:16" ht="13">
      <c r="B10" s="11" t="s">
        <v>57</v>
      </c>
      <c r="C10" s="89">
        <v>34.29294012228393</v>
      </c>
      <c r="D10" s="90">
        <v>34.86043631208275</v>
      </c>
      <c r="E10" s="90">
        <v>35.58952779565223</v>
      </c>
      <c r="F10" s="90">
        <v>36.44778910510803</v>
      </c>
      <c r="G10" s="90">
        <v>37.73345403054395</v>
      </c>
      <c r="H10" s="90">
        <v>39.14841118595606</v>
      </c>
      <c r="I10" s="90">
        <v>40.549902587007175</v>
      </c>
      <c r="J10" s="90">
        <v>42.011797244212296</v>
      </c>
      <c r="K10" s="90">
        <v>43.62375861539875</v>
      </c>
      <c r="L10" s="90">
        <v>45.31476844394575</v>
      </c>
      <c r="M10" s="90">
        <v>45.75253392503913</v>
      </c>
      <c r="N10" s="22"/>
      <c r="O10" s="22"/>
      <c r="P10" s="67"/>
    </row>
    <row r="11" spans="2:16" ht="13">
      <c r="B11" s="11" t="s">
        <v>3</v>
      </c>
      <c r="C11" s="89">
        <v>66.69196636200986</v>
      </c>
      <c r="D11" s="90">
        <v>70.05674792657652</v>
      </c>
      <c r="E11" s="90">
        <v>73.4840706685832</v>
      </c>
      <c r="F11" s="90">
        <v>77.33839737861186</v>
      </c>
      <c r="G11" s="90">
        <v>82.25457668730309</v>
      </c>
      <c r="H11" s="90">
        <v>87.01169631871842</v>
      </c>
      <c r="I11" s="90">
        <v>91.79511178877131</v>
      </c>
      <c r="J11" s="90">
        <v>98.65866652219454</v>
      </c>
      <c r="K11" s="90">
        <v>101.76321812117877</v>
      </c>
      <c r="L11" s="90">
        <v>105.20229824988212</v>
      </c>
      <c r="M11" s="90">
        <v>105.11095867743292</v>
      </c>
      <c r="N11" s="22"/>
      <c r="O11" s="22"/>
      <c r="P11" s="67"/>
    </row>
    <row r="12" spans="2:16" ht="13">
      <c r="B12" s="11" t="s">
        <v>25</v>
      </c>
      <c r="C12" s="89">
        <v>67.18434875077526</v>
      </c>
      <c r="D12" s="90">
        <v>68.63845590588056</v>
      </c>
      <c r="E12" s="90">
        <v>67.957534878262</v>
      </c>
      <c r="F12" s="90">
        <v>70.03998488453725</v>
      </c>
      <c r="G12" s="90">
        <v>71.63536029619702</v>
      </c>
      <c r="H12" s="90">
        <v>72.36307115447359</v>
      </c>
      <c r="I12" s="90">
        <v>72.52275581945419</v>
      </c>
      <c r="J12" s="90">
        <v>73.95154337649362</v>
      </c>
      <c r="K12" s="90">
        <v>75.54085592542552</v>
      </c>
      <c r="L12" s="90">
        <v>76.16298327036895</v>
      </c>
      <c r="M12" s="90">
        <v>75.26716719285822</v>
      </c>
      <c r="N12" s="22"/>
      <c r="O12" s="22"/>
      <c r="P12" s="67"/>
    </row>
    <row r="13" spans="2:16" ht="13">
      <c r="B13" s="11" t="s">
        <v>67</v>
      </c>
      <c r="C13" s="89">
        <v>2.0374213383510784</v>
      </c>
      <c r="D13" s="90">
        <v>2.048539889100265</v>
      </c>
      <c r="E13" s="90">
        <v>2.0760694999768834</v>
      </c>
      <c r="F13" s="90">
        <v>2.021467860710395</v>
      </c>
      <c r="G13" s="90">
        <v>2.071006713939841</v>
      </c>
      <c r="H13" s="90">
        <v>2.063090921701696</v>
      </c>
      <c r="I13" s="90">
        <v>2.107211654253926</v>
      </c>
      <c r="J13" s="90">
        <v>2.1946967714428194</v>
      </c>
      <c r="K13" s="90">
        <v>2.317712605884349</v>
      </c>
      <c r="L13" s="90">
        <v>2.5526344621713912</v>
      </c>
      <c r="M13" s="90">
        <v>2.3346519411144313</v>
      </c>
      <c r="N13" s="22"/>
      <c r="O13" s="22"/>
      <c r="P13" s="67"/>
    </row>
    <row r="14" spans="2:16" ht="13">
      <c r="B14" s="11" t="s">
        <v>27</v>
      </c>
      <c r="C14" s="89">
        <v>110.1217923599803</v>
      </c>
      <c r="D14" s="90" t="s">
        <v>13</v>
      </c>
      <c r="E14" s="90">
        <v>108.19356435307844</v>
      </c>
      <c r="F14" s="90">
        <v>108.6814005284528</v>
      </c>
      <c r="G14" s="90">
        <v>86.19093731554126</v>
      </c>
      <c r="H14" s="90">
        <v>86.25670717244404</v>
      </c>
      <c r="I14" s="90">
        <v>86.1559075067761</v>
      </c>
      <c r="J14" s="90">
        <v>85.54887756674499</v>
      </c>
      <c r="K14" s="90">
        <v>85.2275785229952</v>
      </c>
      <c r="L14" s="90">
        <v>85.18919560736049</v>
      </c>
      <c r="M14" s="90">
        <v>84.46339237301643</v>
      </c>
      <c r="N14" s="22"/>
      <c r="O14" s="22"/>
      <c r="P14" s="67"/>
    </row>
    <row r="15" spans="2:16" ht="13">
      <c r="B15" s="11" t="s">
        <v>4</v>
      </c>
      <c r="C15" s="89">
        <v>89.20129237115351</v>
      </c>
      <c r="D15" s="90">
        <v>74.46766450069961</v>
      </c>
      <c r="E15" s="90">
        <v>75.37675625743015</v>
      </c>
      <c r="F15" s="90">
        <v>76.24919995442266</v>
      </c>
      <c r="G15" s="90">
        <v>77.57803134796838</v>
      </c>
      <c r="H15" s="90">
        <v>79.17310096418382</v>
      </c>
      <c r="I15" s="90">
        <v>79.99918306145813</v>
      </c>
      <c r="J15" s="90">
        <v>79.41385690146923</v>
      </c>
      <c r="K15" s="90">
        <v>79.080097365697</v>
      </c>
      <c r="L15" s="90">
        <v>80.62533956418652</v>
      </c>
      <c r="M15" s="90">
        <v>80.53040266557088</v>
      </c>
      <c r="N15" s="22"/>
      <c r="O15" s="22"/>
      <c r="P15" s="67"/>
    </row>
    <row r="16" spans="2:16" ht="13">
      <c r="B16" s="11" t="s">
        <v>5</v>
      </c>
      <c r="C16" s="89">
        <v>32.51324452035831</v>
      </c>
      <c r="D16" s="90">
        <v>32.62614353506362</v>
      </c>
      <c r="E16" s="90">
        <v>33.30094127871146</v>
      </c>
      <c r="F16" s="90">
        <v>34.88297453222862</v>
      </c>
      <c r="G16" s="90">
        <v>37.71424334765695</v>
      </c>
      <c r="H16" s="90">
        <v>40.93491329786703</v>
      </c>
      <c r="I16" s="90">
        <v>44.50271156353174</v>
      </c>
      <c r="J16" s="90">
        <v>47.71861173707821</v>
      </c>
      <c r="K16" s="90">
        <v>50.116008131098475</v>
      </c>
      <c r="L16" s="90">
        <v>55.381954558223654</v>
      </c>
      <c r="M16" s="90">
        <v>58.04382078471226</v>
      </c>
      <c r="N16" s="22"/>
      <c r="O16" s="22"/>
      <c r="P16" s="67"/>
    </row>
    <row r="17" spans="2:16" ht="13">
      <c r="B17" s="11" t="s">
        <v>28</v>
      </c>
      <c r="C17" s="89">
        <v>69.42699572877557</v>
      </c>
      <c r="D17" s="90">
        <v>67.24925269815401</v>
      </c>
      <c r="E17" s="90">
        <v>67.12563400134864</v>
      </c>
      <c r="F17" s="90">
        <v>67.54775869422171</v>
      </c>
      <c r="G17" s="90">
        <v>69.00211744801425</v>
      </c>
      <c r="H17" s="90">
        <v>70.37244395304522</v>
      </c>
      <c r="I17" s="90">
        <v>72.12074466261272</v>
      </c>
      <c r="J17" s="90">
        <v>73.24379633184202</v>
      </c>
      <c r="K17" s="90">
        <v>74.56903094058359</v>
      </c>
      <c r="L17" s="90">
        <v>76.14971831420402</v>
      </c>
      <c r="M17" s="107">
        <f>ROUND((3844165+517103+213731)*1000/59058615,1)</f>
        <v>77.5</v>
      </c>
      <c r="N17" s="22"/>
      <c r="O17" s="22"/>
      <c r="P17" s="67"/>
    </row>
    <row r="18" spans="2:16" ht="13">
      <c r="B18" s="11" t="s">
        <v>40</v>
      </c>
      <c r="C18" s="89">
        <v>131.36146200734976</v>
      </c>
      <c r="D18" s="90">
        <v>127.12004662004661</v>
      </c>
      <c r="E18" s="90">
        <v>123.31170425781103</v>
      </c>
      <c r="F18" s="90">
        <v>122.40206808995201</v>
      </c>
      <c r="G18" s="90">
        <v>124.36096312362395</v>
      </c>
      <c r="H18" s="90">
        <v>124.67080751091137</v>
      </c>
      <c r="I18" s="90">
        <v>126.77489071228531</v>
      </c>
      <c r="J18" s="90">
        <v>128.99026469445553</v>
      </c>
      <c r="K18" s="90">
        <v>129.7757718410682</v>
      </c>
      <c r="L18" s="90">
        <v>130.34746132717297</v>
      </c>
      <c r="M18" s="90">
        <v>130.5553095768278</v>
      </c>
      <c r="N18" s="22"/>
      <c r="O18" s="22"/>
      <c r="P18" s="67"/>
    </row>
    <row r="19" spans="2:16" ht="13">
      <c r="B19" s="11" t="s">
        <v>29</v>
      </c>
      <c r="C19" s="89">
        <v>37.70237051128433</v>
      </c>
      <c r="D19" s="90">
        <v>39.93968427174454</v>
      </c>
      <c r="E19" s="90">
        <v>41.89374531744689</v>
      </c>
      <c r="F19" s="90">
        <v>43.67693149215549</v>
      </c>
      <c r="G19" s="90">
        <v>43.10871763525862</v>
      </c>
      <c r="H19" s="90">
        <v>45.04959989743478</v>
      </c>
      <c r="I19" s="90">
        <v>46.46483691394857</v>
      </c>
      <c r="J19" s="90">
        <v>47.86507135649416</v>
      </c>
      <c r="K19" s="90">
        <v>48.857952813799535</v>
      </c>
      <c r="L19" s="90">
        <v>50.54545977970494</v>
      </c>
      <c r="M19" s="90">
        <v>51.27746224419871</v>
      </c>
      <c r="N19" s="22"/>
      <c r="O19" s="22"/>
      <c r="P19" s="67"/>
    </row>
    <row r="20" spans="2:16" ht="13">
      <c r="B20" s="11" t="s">
        <v>30</v>
      </c>
      <c r="C20" s="89" t="s">
        <v>13</v>
      </c>
      <c r="D20" s="90">
        <v>48.59499258019101</v>
      </c>
      <c r="E20" s="90">
        <v>34.12189663234588</v>
      </c>
      <c r="F20" s="90">
        <v>35.62192623447408</v>
      </c>
      <c r="G20" s="90">
        <v>38.41281166780903</v>
      </c>
      <c r="H20" s="90">
        <v>41.13316916473738</v>
      </c>
      <c r="I20" s="90">
        <v>44.97806873133623</v>
      </c>
      <c r="J20" s="90">
        <v>48.626923255872214</v>
      </c>
      <c r="K20" s="90">
        <v>51.24728152005952</v>
      </c>
      <c r="L20" s="90">
        <v>54.58307525522114</v>
      </c>
      <c r="M20" s="90">
        <v>53.480244622910185</v>
      </c>
      <c r="N20" s="22"/>
      <c r="O20" s="22"/>
      <c r="P20" s="67"/>
    </row>
    <row r="21" spans="2:16" ht="13">
      <c r="B21" s="11" t="s">
        <v>31</v>
      </c>
      <c r="C21" s="89" t="s">
        <v>13</v>
      </c>
      <c r="D21" s="90">
        <v>68.51076990248872</v>
      </c>
      <c r="E21" s="90">
        <v>68.27152292000468</v>
      </c>
      <c r="F21" s="90">
        <v>68.67517340594082</v>
      </c>
      <c r="G21" s="90">
        <v>69.83291770151372</v>
      </c>
      <c r="H21" s="90">
        <v>71.6322954128288</v>
      </c>
      <c r="I21" s="90">
        <v>73.24880191042753</v>
      </c>
      <c r="J21" s="90">
        <v>75.02220064270062</v>
      </c>
      <c r="K21" s="90">
        <v>76.46400831849763</v>
      </c>
      <c r="L21" s="90">
        <v>78.08217267821202</v>
      </c>
      <c r="M21" s="90">
        <v>78.45448631548125</v>
      </c>
      <c r="N21" s="22"/>
      <c r="O21" s="22"/>
      <c r="P21" s="67"/>
    </row>
    <row r="22" spans="2:16" ht="13">
      <c r="B22" s="11" t="s">
        <v>6</v>
      </c>
      <c r="C22" s="89">
        <v>47.12993442796997</v>
      </c>
      <c r="D22" s="90">
        <v>46.83931392633562</v>
      </c>
      <c r="E22" s="90">
        <v>48.54218999589166</v>
      </c>
      <c r="F22" s="90">
        <v>50.47940157581238</v>
      </c>
      <c r="G22" s="90">
        <v>52.77619603491114</v>
      </c>
      <c r="H22" s="90">
        <v>55.48234976971113</v>
      </c>
      <c r="I22" s="90">
        <v>58.37401445405984</v>
      </c>
      <c r="J22" s="90">
        <v>61.273187665399526</v>
      </c>
      <c r="K22" s="90">
        <v>63.2738080801811</v>
      </c>
      <c r="L22" s="90">
        <v>65.80785859442811</v>
      </c>
      <c r="M22" s="90">
        <v>67.26346556805964</v>
      </c>
      <c r="N22" s="22"/>
      <c r="O22" s="22"/>
      <c r="P22" s="67"/>
    </row>
    <row r="23" spans="2:16" ht="13">
      <c r="B23" s="11" t="s">
        <v>41</v>
      </c>
      <c r="C23" s="89">
        <v>101.06293593745933</v>
      </c>
      <c r="D23" s="90">
        <v>101.0236968590484</v>
      </c>
      <c r="E23" s="90">
        <v>100.29543474849382</v>
      </c>
      <c r="F23" s="90">
        <v>98.02293440493767</v>
      </c>
      <c r="G23" s="90">
        <v>98.49727458575659</v>
      </c>
      <c r="H23" s="90">
        <v>98.66701982968293</v>
      </c>
      <c r="I23" s="90">
        <v>98.86761258532414</v>
      </c>
      <c r="J23" s="90">
        <v>98.41730086053435</v>
      </c>
      <c r="K23" s="90">
        <v>100.84092230187947</v>
      </c>
      <c r="L23" s="90">
        <v>101.30506304573575</v>
      </c>
      <c r="M23" s="90">
        <v>100.87864223490537</v>
      </c>
      <c r="N23" s="22"/>
      <c r="O23" s="22"/>
      <c r="P23" s="67"/>
    </row>
    <row r="24" spans="2:16" ht="13">
      <c r="B24" s="11" t="s">
        <v>32</v>
      </c>
      <c r="C24" s="89" t="s">
        <v>13</v>
      </c>
      <c r="D24" s="90">
        <v>56.52514494224919</v>
      </c>
      <c r="E24" s="90">
        <v>56.14214442622169</v>
      </c>
      <c r="F24" s="90">
        <v>56.72048963668317</v>
      </c>
      <c r="G24" s="90">
        <v>57.89916545419558</v>
      </c>
      <c r="H24" s="90">
        <v>59.54257600975585</v>
      </c>
      <c r="I24" s="90">
        <v>60.37699100511898</v>
      </c>
      <c r="J24" s="90">
        <v>62.29669422840675</v>
      </c>
      <c r="K24" s="90">
        <v>63.163020735129905</v>
      </c>
      <c r="L24" s="90">
        <v>63.561812760763196</v>
      </c>
      <c r="M24" s="90">
        <v>63.75505038660438</v>
      </c>
      <c r="N24" s="22"/>
      <c r="O24" s="22"/>
      <c r="P24" s="67"/>
    </row>
    <row r="25" spans="2:16" ht="13">
      <c r="B25" s="11" t="s">
        <v>33</v>
      </c>
      <c r="C25" s="89">
        <v>49.28323469626804</v>
      </c>
      <c r="D25" s="90">
        <v>49.92509214500694</v>
      </c>
      <c r="E25" s="90">
        <v>50.66030854546678</v>
      </c>
      <c r="F25" s="90">
        <v>51.03436354192779</v>
      </c>
      <c r="G25" s="90">
        <v>52.11683982370639</v>
      </c>
      <c r="H25" s="90">
        <v>53.815872949662484</v>
      </c>
      <c r="I25" s="90">
        <v>55.90287596196991</v>
      </c>
      <c r="J25" s="90">
        <v>57.73680539764684</v>
      </c>
      <c r="K25" s="90">
        <v>59.5157278948363</v>
      </c>
      <c r="L25" s="90">
        <v>63.24473664954919</v>
      </c>
      <c r="M25" s="90">
        <v>63.20825982864986</v>
      </c>
      <c r="N25" s="22"/>
      <c r="O25" s="22"/>
      <c r="P25" s="67"/>
    </row>
    <row r="26" spans="2:16" ht="13">
      <c r="B26" s="11" t="s">
        <v>7</v>
      </c>
      <c r="C26" s="89">
        <v>83.49430746007852</v>
      </c>
      <c r="D26" s="90">
        <v>91.31598583570835</v>
      </c>
      <c r="E26" s="90">
        <v>87.89796160114662</v>
      </c>
      <c r="F26" s="90">
        <v>90.28751626172996</v>
      </c>
      <c r="G26" s="90">
        <v>93.25940424350334</v>
      </c>
      <c r="H26" s="90">
        <v>95.82149701473433</v>
      </c>
      <c r="I26" s="90">
        <v>98.97009997574054</v>
      </c>
      <c r="J26" s="90">
        <v>102.30999739765949</v>
      </c>
      <c r="K26" s="90">
        <v>105.68622870808065</v>
      </c>
      <c r="L26" s="90">
        <v>109.0220447111849</v>
      </c>
      <c r="M26" s="90">
        <v>109.40827246240679</v>
      </c>
      <c r="N26" s="22"/>
      <c r="O26" s="22"/>
      <c r="P26" s="67"/>
    </row>
    <row r="27" spans="2:16" ht="13">
      <c r="B27" s="11" t="s">
        <v>34</v>
      </c>
      <c r="C27" s="89">
        <v>119.94386728543478</v>
      </c>
      <c r="D27" s="90">
        <v>119.53687728013222</v>
      </c>
      <c r="E27" s="90">
        <v>129.9876759331389</v>
      </c>
      <c r="F27" s="90">
        <v>126.98743778604879</v>
      </c>
      <c r="G27" s="90">
        <v>127.1123450020675</v>
      </c>
      <c r="H27" s="90">
        <v>129.90132083027282</v>
      </c>
      <c r="I27" s="90">
        <v>133.2812150146298</v>
      </c>
      <c r="J27" s="90">
        <v>146.9559414326603</v>
      </c>
      <c r="K27" s="90">
        <v>135.5102788317862</v>
      </c>
      <c r="L27" s="90">
        <v>134.8663384480086</v>
      </c>
      <c r="M27" s="90">
        <v>135.08427919568527</v>
      </c>
      <c r="N27" s="22"/>
      <c r="O27" s="22"/>
      <c r="P27" s="67"/>
    </row>
    <row r="28" spans="2:16" ht="13">
      <c r="B28" s="11" t="s">
        <v>8</v>
      </c>
      <c r="C28" s="89">
        <v>35.96020674049456</v>
      </c>
      <c r="D28" s="90" t="s">
        <v>13</v>
      </c>
      <c r="E28" s="90" t="s">
        <v>13</v>
      </c>
      <c r="F28" s="90" t="s">
        <v>13</v>
      </c>
      <c r="G28" s="90">
        <v>46.46672621681109</v>
      </c>
      <c r="H28" s="90">
        <v>49.924537259897505</v>
      </c>
      <c r="I28" s="90">
        <v>53.275965777669406</v>
      </c>
      <c r="J28" s="90">
        <v>56.39283644469471</v>
      </c>
      <c r="K28" s="90">
        <v>59.45277028623877</v>
      </c>
      <c r="L28" s="90">
        <v>62.563571766350506</v>
      </c>
      <c r="M28" s="90">
        <v>64.53416479368786</v>
      </c>
      <c r="N28" s="22"/>
      <c r="O28" s="22"/>
      <c r="P28" s="67"/>
    </row>
    <row r="29" spans="2:16" ht="13">
      <c r="B29" s="78" t="s">
        <v>96</v>
      </c>
      <c r="C29" s="89">
        <v>40.99822179781535</v>
      </c>
      <c r="D29" s="90">
        <v>4.6761778383715376</v>
      </c>
      <c r="E29" s="90">
        <v>4.926137030182164</v>
      </c>
      <c r="F29" s="90">
        <v>5.486903324697169</v>
      </c>
      <c r="G29" s="90">
        <v>6.283475200820952</v>
      </c>
      <c r="H29" s="90">
        <v>6.933155287196161</v>
      </c>
      <c r="I29" s="90">
        <v>7.6543508891310905</v>
      </c>
      <c r="J29" s="90">
        <v>7.9924193446034835</v>
      </c>
      <c r="K29" s="90">
        <v>7.967369961834577</v>
      </c>
      <c r="L29" s="90">
        <v>8.210973908256532</v>
      </c>
      <c r="M29" s="90">
        <v>8.27416522535691</v>
      </c>
      <c r="N29" s="22"/>
      <c r="O29" s="22"/>
      <c r="P29" s="67"/>
    </row>
    <row r="30" spans="2:16" ht="13">
      <c r="B30" s="11" t="s">
        <v>9</v>
      </c>
      <c r="C30" s="89">
        <v>57.3197930966675</v>
      </c>
      <c r="D30" s="90">
        <v>53.4349566437941</v>
      </c>
      <c r="E30" s="90">
        <v>54.20292993496637</v>
      </c>
      <c r="F30" s="90">
        <v>55.818085853734765</v>
      </c>
      <c r="G30" s="90">
        <v>56.90349256707442</v>
      </c>
      <c r="H30" s="90">
        <v>58.1899719278649</v>
      </c>
      <c r="I30" s="90">
        <v>59.56897641484942</v>
      </c>
      <c r="J30" s="90">
        <v>59.79765377464811</v>
      </c>
      <c r="K30" s="90">
        <v>59.83866385849542</v>
      </c>
      <c r="L30" s="90">
        <v>61.301868433874695</v>
      </c>
      <c r="M30" s="90">
        <v>60.99870671177486</v>
      </c>
      <c r="N30" s="22"/>
      <c r="O30" s="22"/>
      <c r="P30" s="67"/>
    </row>
    <row r="31" spans="2:16" ht="13">
      <c r="B31" s="14" t="s">
        <v>10</v>
      </c>
      <c r="C31" s="91">
        <v>95.67812623349036</v>
      </c>
      <c r="D31" s="92">
        <v>97.78455295738424</v>
      </c>
      <c r="E31" s="92">
        <v>100.53816391200407</v>
      </c>
      <c r="F31" s="92">
        <v>103.57975167422714</v>
      </c>
      <c r="G31" s="92">
        <v>107.23608048048288</v>
      </c>
      <c r="H31" s="92">
        <v>111.24860106690755</v>
      </c>
      <c r="I31" s="92">
        <v>115.29817672205772</v>
      </c>
      <c r="J31" s="92">
        <v>119.30428292296588</v>
      </c>
      <c r="K31" s="92">
        <v>122.73896042009521</v>
      </c>
      <c r="L31" s="92">
        <v>125.39415645427083</v>
      </c>
      <c r="M31" s="92">
        <v>126.49808718785857</v>
      </c>
      <c r="N31" s="22"/>
      <c r="O31" s="22"/>
      <c r="P31" s="67"/>
    </row>
    <row r="32" spans="2:16" ht="13">
      <c r="B32" s="17" t="s">
        <v>36</v>
      </c>
      <c r="C32" s="93" t="s">
        <v>13</v>
      </c>
      <c r="D32" s="94">
        <v>58.02259109096821</v>
      </c>
      <c r="E32" s="94">
        <v>59.0508912417779</v>
      </c>
      <c r="F32" s="94">
        <v>59.94345558433206</v>
      </c>
      <c r="G32" s="94">
        <v>61.0695003868375</v>
      </c>
      <c r="H32" s="94">
        <v>62.49455299586709</v>
      </c>
      <c r="I32" s="94">
        <v>63.528078915483924</v>
      </c>
      <c r="J32" s="94">
        <v>64.19465375703855</v>
      </c>
      <c r="K32" s="94">
        <v>64.88860755956932</v>
      </c>
      <c r="L32" s="94">
        <v>65.50111429743006</v>
      </c>
      <c r="M32" s="94">
        <v>65.16873231773614</v>
      </c>
      <c r="N32" s="22"/>
      <c r="O32" s="22"/>
      <c r="P32" s="67"/>
    </row>
    <row r="33" spans="2:13" ht="12" customHeight="1">
      <c r="B33" s="4" t="s">
        <v>101</v>
      </c>
      <c r="C33" s="95" t="s">
        <v>13</v>
      </c>
      <c r="D33" s="96" t="s">
        <v>13</v>
      </c>
      <c r="E33" s="96" t="s">
        <v>13</v>
      </c>
      <c r="F33" s="96" t="s">
        <v>13</v>
      </c>
      <c r="G33" s="96" t="s">
        <v>13</v>
      </c>
      <c r="H33" s="96">
        <v>110.17936576266322</v>
      </c>
      <c r="I33" s="96">
        <v>113.58549655313439</v>
      </c>
      <c r="J33" s="96">
        <v>114.75720476527871</v>
      </c>
      <c r="K33" s="96">
        <v>115.44176663268183</v>
      </c>
      <c r="L33" s="96">
        <v>116.8909867959431</v>
      </c>
      <c r="M33" s="96">
        <v>102.51571838656488</v>
      </c>
    </row>
    <row r="34" spans="2:13" ht="13">
      <c r="B34" s="197" t="s">
        <v>179</v>
      </c>
      <c r="C34" s="91" t="s">
        <v>13</v>
      </c>
      <c r="D34" s="92">
        <v>83.11562390584179</v>
      </c>
      <c r="E34" s="92">
        <v>83.20398222983461</v>
      </c>
      <c r="F34" s="92">
        <v>84.47185157620542</v>
      </c>
      <c r="G34" s="92">
        <v>86.90822533721237</v>
      </c>
      <c r="H34" s="92">
        <v>87.68431547462875</v>
      </c>
      <c r="I34" s="92">
        <v>89.47834696961802</v>
      </c>
      <c r="J34" s="92">
        <v>90.97478514465637</v>
      </c>
      <c r="K34" s="92">
        <v>91.02547689156317</v>
      </c>
      <c r="L34" s="92">
        <v>92.34761371730946</v>
      </c>
      <c r="M34" s="92">
        <v>92.88185611071538</v>
      </c>
    </row>
    <row r="35" spans="2:13" ht="13">
      <c r="B35" s="197" t="s">
        <v>37</v>
      </c>
      <c r="C35" s="91">
        <v>107.4041702342478</v>
      </c>
      <c r="D35" s="92" t="s">
        <v>13</v>
      </c>
      <c r="E35" s="92" t="s">
        <v>13</v>
      </c>
      <c r="F35" s="92" t="s">
        <v>13</v>
      </c>
      <c r="G35" s="92">
        <v>106.27221599610674</v>
      </c>
      <c r="H35" s="92">
        <v>106.44440243907275</v>
      </c>
      <c r="I35" s="92">
        <v>106.15793816011826</v>
      </c>
      <c r="J35" s="92">
        <v>107.2686387534047</v>
      </c>
      <c r="K35" s="92">
        <v>108.6378988342293</v>
      </c>
      <c r="L35" s="92">
        <v>109.57297977796497</v>
      </c>
      <c r="M35" s="92">
        <v>108.69566012599469</v>
      </c>
    </row>
    <row r="36" spans="2:13" ht="13">
      <c r="B36" s="198" t="s">
        <v>38</v>
      </c>
      <c r="C36" s="93">
        <v>45.017701074503734</v>
      </c>
      <c r="D36" s="94">
        <v>45.62381267652059</v>
      </c>
      <c r="E36" s="94">
        <v>46.406469987979605</v>
      </c>
      <c r="F36" s="94">
        <v>47.266968219287186</v>
      </c>
      <c r="G36" s="94">
        <v>48.169557755461994</v>
      </c>
      <c r="H36" s="94">
        <v>49.09177487850847</v>
      </c>
      <c r="I36" s="94">
        <v>50.1851067940917</v>
      </c>
      <c r="J36" s="94">
        <v>51.21930162247809</v>
      </c>
      <c r="K36" s="94">
        <v>52.153443364128115</v>
      </c>
      <c r="L36" s="94">
        <v>53.113754522793826</v>
      </c>
      <c r="M36" s="94">
        <v>53.86396019460656</v>
      </c>
    </row>
    <row r="37" spans="2:13" ht="15">
      <c r="B37" s="193" t="s">
        <v>180</v>
      </c>
      <c r="C37" s="89" t="s">
        <v>13</v>
      </c>
      <c r="D37" s="90">
        <v>17.37415885592685</v>
      </c>
      <c r="E37" s="90">
        <v>17.642699839682855</v>
      </c>
      <c r="F37" s="90">
        <v>18.01568789859517</v>
      </c>
      <c r="G37" s="90">
        <v>18.766091947286785</v>
      </c>
      <c r="H37" s="90">
        <v>19.5105052659819</v>
      </c>
      <c r="I37" s="90">
        <v>22.952570348751646</v>
      </c>
      <c r="J37" s="90">
        <v>20.9347362060186</v>
      </c>
      <c r="K37" s="90">
        <v>20.958178192961412</v>
      </c>
      <c r="L37" s="90">
        <v>22.20034303440893</v>
      </c>
      <c r="M37" s="90">
        <v>22.776234513637377</v>
      </c>
    </row>
    <row r="38" spans="2:13" ht="13">
      <c r="B38" s="199" t="s">
        <v>181</v>
      </c>
      <c r="C38" s="95" t="s">
        <v>13</v>
      </c>
      <c r="D38" s="96" t="s">
        <v>13</v>
      </c>
      <c r="E38" s="96" t="s">
        <v>13</v>
      </c>
      <c r="F38" s="96" t="s">
        <v>13</v>
      </c>
      <c r="G38" s="96">
        <v>23.72478859616284</v>
      </c>
      <c r="H38" s="96">
        <v>25.682925771138525</v>
      </c>
      <c r="I38" s="96">
        <v>28.480412483806987</v>
      </c>
      <c r="J38" s="96">
        <v>30.83427001976288</v>
      </c>
      <c r="K38" s="96" t="s">
        <v>13</v>
      </c>
      <c r="L38" s="96" t="s">
        <v>13</v>
      </c>
      <c r="M38" s="96">
        <v>34.57275009997037</v>
      </c>
    </row>
    <row r="39" spans="2:13" ht="13.15" customHeight="1">
      <c r="B39" s="11" t="s">
        <v>184</v>
      </c>
      <c r="C39" s="89" t="s">
        <v>13</v>
      </c>
      <c r="D39" s="90" t="s">
        <v>13</v>
      </c>
      <c r="E39" s="90" t="s">
        <v>13</v>
      </c>
      <c r="F39" s="90" t="s">
        <v>13</v>
      </c>
      <c r="G39" s="90" t="s">
        <v>13</v>
      </c>
      <c r="H39" s="90" t="s">
        <v>13</v>
      </c>
      <c r="I39" s="90" t="s">
        <v>13</v>
      </c>
      <c r="J39" s="90" t="s">
        <v>13</v>
      </c>
      <c r="K39" s="90">
        <v>80.60699847946195</v>
      </c>
      <c r="L39" s="90">
        <v>80.02673744285468</v>
      </c>
      <c r="M39" s="90">
        <v>82.72204418223816</v>
      </c>
    </row>
    <row r="40" spans="2:13" ht="13">
      <c r="B40" s="193" t="s">
        <v>182</v>
      </c>
      <c r="C40" s="89">
        <v>14.915914025837248</v>
      </c>
      <c r="D40" s="90">
        <v>16.99173528114712</v>
      </c>
      <c r="E40" s="90">
        <v>18.060847527416765</v>
      </c>
      <c r="F40" s="90">
        <v>18.678323238116757</v>
      </c>
      <c r="G40" s="90">
        <v>19.438183499847135</v>
      </c>
      <c r="H40" s="90">
        <v>20.08865220033142</v>
      </c>
      <c r="I40" s="90">
        <v>20.520121013012172</v>
      </c>
      <c r="J40" s="90">
        <v>21.027282294323193</v>
      </c>
      <c r="K40" s="90">
        <v>21.683984207330987</v>
      </c>
      <c r="L40" s="90">
        <v>26.915041744823675</v>
      </c>
      <c r="M40" s="90">
        <v>27.610153752026278</v>
      </c>
    </row>
    <row r="41" spans="2:13" ht="15">
      <c r="B41" s="193" t="s">
        <v>186</v>
      </c>
      <c r="C41" s="89" t="s">
        <v>13</v>
      </c>
      <c r="D41" s="90" t="s">
        <v>13</v>
      </c>
      <c r="E41" s="90" t="s">
        <v>13</v>
      </c>
      <c r="F41" s="90" t="s">
        <v>13</v>
      </c>
      <c r="G41" s="90" t="s">
        <v>13</v>
      </c>
      <c r="H41" s="90">
        <v>26.793252848202492</v>
      </c>
      <c r="I41" s="90">
        <v>27.218203264487048</v>
      </c>
      <c r="J41" s="90">
        <v>28.08232114328823</v>
      </c>
      <c r="K41" s="90">
        <v>27.994087818583676</v>
      </c>
      <c r="L41" s="90">
        <v>29.476390665737327</v>
      </c>
      <c r="M41" s="90">
        <v>30.13869313057064</v>
      </c>
    </row>
    <row r="42" spans="2:13" ht="13.15" customHeight="1">
      <c r="B42" s="11" t="s">
        <v>183</v>
      </c>
      <c r="C42" s="89" t="s">
        <v>13</v>
      </c>
      <c r="D42" s="90">
        <v>5.767540660089876</v>
      </c>
      <c r="E42" s="90">
        <v>5.837903995985856</v>
      </c>
      <c r="F42" s="90">
        <v>5.886092324641326</v>
      </c>
      <c r="G42" s="90">
        <v>6.142340012883305</v>
      </c>
      <c r="H42" s="90">
        <v>4.366754415181004</v>
      </c>
      <c r="I42" s="90">
        <v>4.546142137423941</v>
      </c>
      <c r="J42" s="90">
        <v>4.749899418648574</v>
      </c>
      <c r="K42" s="90">
        <v>4.88348580311767</v>
      </c>
      <c r="L42" s="90">
        <v>5.156085784896291</v>
      </c>
      <c r="M42" s="90">
        <v>5.354038814544142</v>
      </c>
    </row>
    <row r="43" spans="2:13" ht="13">
      <c r="B43" s="11" t="s">
        <v>64</v>
      </c>
      <c r="C43" s="89" t="s">
        <v>13</v>
      </c>
      <c r="D43" s="90" t="s">
        <v>13</v>
      </c>
      <c r="E43" s="90" t="s">
        <v>13</v>
      </c>
      <c r="F43" s="90" t="s">
        <v>13</v>
      </c>
      <c r="G43" s="90" t="s">
        <v>13</v>
      </c>
      <c r="H43" s="90" t="s">
        <v>13</v>
      </c>
      <c r="I43" s="90" t="s">
        <v>13</v>
      </c>
      <c r="J43" s="90" t="s">
        <v>13</v>
      </c>
      <c r="K43" s="90" t="s">
        <v>13</v>
      </c>
      <c r="L43" s="90" t="s">
        <v>13</v>
      </c>
      <c r="M43" s="90" t="s">
        <v>13</v>
      </c>
    </row>
    <row r="44" spans="2:13" ht="13">
      <c r="B44" s="4" t="s">
        <v>185</v>
      </c>
      <c r="C44" s="95" t="s">
        <v>13</v>
      </c>
      <c r="D44" s="96">
        <v>48.11663984795507</v>
      </c>
      <c r="E44" s="96">
        <v>49.374636274262286</v>
      </c>
      <c r="F44" s="96">
        <v>51.556562242061965</v>
      </c>
      <c r="G44" s="96">
        <v>53.47145145420332</v>
      </c>
      <c r="H44" s="96">
        <v>55.45494228629253</v>
      </c>
      <c r="I44" s="96">
        <v>56.10761207621854</v>
      </c>
      <c r="J44" s="96">
        <v>55.81624878177796</v>
      </c>
      <c r="K44" s="96">
        <v>57.387294302383125</v>
      </c>
      <c r="L44" s="96">
        <v>59.063437360434584</v>
      </c>
      <c r="M44" s="96">
        <v>61.36670107334208</v>
      </c>
    </row>
    <row r="45" spans="2:13" ht="13">
      <c r="B45" s="198" t="s">
        <v>157</v>
      </c>
      <c r="C45" s="93" t="s">
        <v>13</v>
      </c>
      <c r="D45" s="94" t="s">
        <v>13</v>
      </c>
      <c r="E45" s="94" t="s">
        <v>13</v>
      </c>
      <c r="F45" s="94" t="s">
        <v>13</v>
      </c>
      <c r="G45" s="94" t="s">
        <v>13</v>
      </c>
      <c r="H45" s="94" t="s">
        <v>13</v>
      </c>
      <c r="I45" s="94" t="s">
        <v>13</v>
      </c>
      <c r="J45" s="94" t="s">
        <v>13</v>
      </c>
      <c r="K45" s="94" t="s">
        <v>13</v>
      </c>
      <c r="L45" s="94" t="s">
        <v>13</v>
      </c>
      <c r="M45" s="94" t="s">
        <v>13</v>
      </c>
    </row>
    <row r="46" spans="2:13" ht="14.5" customHeight="1">
      <c r="B46" s="238" t="s">
        <v>71</v>
      </c>
      <c r="C46" s="239" t="s">
        <v>13</v>
      </c>
      <c r="D46" s="240" t="s">
        <v>13</v>
      </c>
      <c r="E46" s="240" t="s">
        <v>13</v>
      </c>
      <c r="F46" s="240" t="s">
        <v>13</v>
      </c>
      <c r="G46" s="240" t="s">
        <v>13</v>
      </c>
      <c r="H46" s="240">
        <v>7.154271378577552</v>
      </c>
      <c r="I46" s="240">
        <v>11.675890728008438</v>
      </c>
      <c r="J46" s="240">
        <v>13.042368197338556</v>
      </c>
      <c r="K46" s="240" t="s">
        <v>13</v>
      </c>
      <c r="L46" s="240">
        <v>13.762344480264897</v>
      </c>
      <c r="M46" s="240" t="s">
        <v>13</v>
      </c>
    </row>
    <row r="47" spans="2:13" ht="15" customHeight="1">
      <c r="B47" s="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ht="15" customHeight="1">
      <c r="B48" s="1" t="s">
        <v>102</v>
      </c>
    </row>
    <row r="49" ht="15" customHeight="1">
      <c r="B49" s="1" t="s">
        <v>99</v>
      </c>
    </row>
    <row r="50" ht="15" customHeight="1">
      <c r="B50" s="1" t="s">
        <v>178</v>
      </c>
    </row>
    <row r="51" ht="15" customHeight="1">
      <c r="B51" s="1" t="s">
        <v>100</v>
      </c>
    </row>
    <row r="52" ht="15" customHeight="1">
      <c r="B52" s="1" t="s">
        <v>248</v>
      </c>
    </row>
    <row r="53" ht="15" customHeight="1">
      <c r="B53" s="1" t="s">
        <v>249</v>
      </c>
    </row>
    <row r="54" ht="15" customHeight="1">
      <c r="B54" s="1" t="s">
        <v>250</v>
      </c>
    </row>
    <row r="55" ht="15" customHeight="1">
      <c r="B55" s="1" t="s">
        <v>187</v>
      </c>
    </row>
    <row r="56" ht="15" customHeight="1">
      <c r="B56" s="1" t="s">
        <v>73</v>
      </c>
    </row>
    <row r="57" ht="15" customHeight="1">
      <c r="B57" s="1" t="s">
        <v>72</v>
      </c>
    </row>
    <row r="58" ht="15" customHeight="1">
      <c r="B58" s="32" t="s">
        <v>147</v>
      </c>
    </row>
    <row r="59" ht="15" customHeight="1"/>
    <row r="62" spans="13:14" ht="15">
      <c r="M62" s="67"/>
      <c r="N62" s="22"/>
    </row>
    <row r="63" spans="13:14" ht="15">
      <c r="M63" s="67"/>
      <c r="N63" s="22"/>
    </row>
    <row r="64" spans="13:14" ht="15">
      <c r="M64" s="67"/>
      <c r="N64" s="22"/>
    </row>
    <row r="65" spans="13:14" ht="15">
      <c r="M65" s="67"/>
      <c r="N65" s="22"/>
    </row>
    <row r="66" spans="13:14" ht="15">
      <c r="M66" s="67"/>
      <c r="N66" s="22"/>
    </row>
    <row r="67" spans="13:14" ht="15">
      <c r="M67" s="67"/>
      <c r="N67" s="22"/>
    </row>
    <row r="68" spans="13:14" ht="15">
      <c r="M68" s="67"/>
      <c r="N68" s="22"/>
    </row>
    <row r="69" spans="13:14" ht="15">
      <c r="M69" s="67"/>
      <c r="N69" s="22"/>
    </row>
    <row r="70" spans="13:14" ht="15">
      <c r="M70" s="67"/>
      <c r="N70" s="22"/>
    </row>
    <row r="71" spans="13:14" ht="15">
      <c r="M71" s="67"/>
      <c r="N71" s="22"/>
    </row>
    <row r="72" spans="13:14" ht="15">
      <c r="M72" s="67"/>
      <c r="N72" s="22"/>
    </row>
    <row r="73" spans="13:14" ht="15">
      <c r="M73" s="67"/>
      <c r="N73" s="22"/>
    </row>
    <row r="74" spans="13:14" ht="15">
      <c r="M74" s="67"/>
      <c r="N74" s="22"/>
    </row>
    <row r="75" spans="13:14" ht="15">
      <c r="M75" s="67"/>
      <c r="N75" s="22"/>
    </row>
    <row r="76" spans="13:14" ht="15">
      <c r="M76" s="67"/>
      <c r="N76" s="22"/>
    </row>
    <row r="77" spans="13:14" ht="15">
      <c r="M77" s="67"/>
      <c r="N77" s="22"/>
    </row>
    <row r="78" spans="13:14" ht="15">
      <c r="M78" s="67"/>
      <c r="N78" s="22"/>
    </row>
    <row r="79" spans="13:14" ht="15">
      <c r="M79" s="67"/>
      <c r="N79" s="22"/>
    </row>
    <row r="80" spans="13:14" ht="15">
      <c r="M80" s="67"/>
      <c r="N80" s="22"/>
    </row>
    <row r="81" spans="13:14" ht="15">
      <c r="M81" s="67"/>
      <c r="N81" s="22"/>
    </row>
    <row r="82" spans="13:14" ht="15">
      <c r="M82" s="67"/>
      <c r="N82" s="22"/>
    </row>
    <row r="83" spans="13:14" ht="15">
      <c r="M83" s="67"/>
      <c r="N83" s="22"/>
    </row>
    <row r="84" spans="13:14" ht="15">
      <c r="M84" s="67"/>
      <c r="N84" s="22"/>
    </row>
    <row r="85" spans="13:14" ht="15">
      <c r="M85" s="67"/>
      <c r="N85" s="22"/>
    </row>
    <row r="86" spans="13:14" ht="15">
      <c r="M86" s="67"/>
      <c r="N86" s="22"/>
    </row>
    <row r="87" spans="13:14" ht="15">
      <c r="M87" s="67"/>
      <c r="N87" s="22"/>
    </row>
    <row r="88" spans="13:14" ht="15">
      <c r="M88" s="67"/>
      <c r="N88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4FECC-BFFA-4408-AA40-3408A9F2D7B1}">
  <sheetPr>
    <tabColor rgb="FF00B050"/>
  </sheetPr>
  <dimension ref="B2:AA206"/>
  <sheetViews>
    <sheetView showGridLines="0" workbookViewId="0" topLeftCell="M15">
      <selection activeCell="B51" sqref="B51"/>
    </sheetView>
  </sheetViews>
  <sheetFormatPr defaultColWidth="9.28125" defaultRowHeight="15"/>
  <cols>
    <col min="1" max="1" width="9.28125" style="3" customWidth="1"/>
    <col min="2" max="2" width="23.7109375" style="3" customWidth="1"/>
    <col min="3" max="6" width="12.00390625" style="3" bestFit="1" customWidth="1"/>
    <col min="7" max="7" width="11.421875" style="3" customWidth="1"/>
    <col min="8" max="13" width="12.00390625" style="3" bestFit="1" customWidth="1"/>
    <col min="14" max="15" width="9.57421875" style="3" bestFit="1" customWidth="1"/>
    <col min="16" max="16" width="9.57421875" style="22" bestFit="1" customWidth="1"/>
    <col min="17" max="20" width="9.28125" style="3" customWidth="1"/>
    <col min="21" max="21" width="6.00390625" style="3" customWidth="1"/>
    <col min="22" max="16384" width="9.28125" style="3" customWidth="1"/>
  </cols>
  <sheetData>
    <row r="1" ht="12.75"/>
    <row r="2" spans="2:10" ht="12.75">
      <c r="B2" s="98" t="s">
        <v>177</v>
      </c>
      <c r="I2" s="4"/>
      <c r="J2" s="4"/>
    </row>
    <row r="3" spans="2:10" ht="12.75">
      <c r="B3" s="1" t="s">
        <v>22</v>
      </c>
      <c r="I3" s="1"/>
      <c r="J3" s="1"/>
    </row>
    <row r="4" ht="12.75"/>
    <row r="5" spans="2:13" ht="12.75">
      <c r="B5" s="24"/>
      <c r="C5" s="99">
        <v>2012</v>
      </c>
      <c r="D5" s="99">
        <v>2013</v>
      </c>
      <c r="E5" s="99">
        <v>2014</v>
      </c>
      <c r="F5" s="99">
        <v>2015</v>
      </c>
      <c r="G5" s="99">
        <v>2016</v>
      </c>
      <c r="H5" s="99">
        <v>2017</v>
      </c>
      <c r="I5" s="99">
        <v>2018</v>
      </c>
      <c r="J5" s="99">
        <v>2019</v>
      </c>
      <c r="K5" s="99">
        <v>2020</v>
      </c>
      <c r="L5" s="99">
        <v>2021</v>
      </c>
      <c r="M5" s="99">
        <v>2022</v>
      </c>
    </row>
    <row r="6" spans="2:13" ht="12.75">
      <c r="B6" s="8" t="s">
        <v>61</v>
      </c>
      <c r="C6" s="30" t="s">
        <v>13</v>
      </c>
      <c r="D6" s="30" t="s">
        <v>13</v>
      </c>
      <c r="E6" s="30" t="s">
        <v>13</v>
      </c>
      <c r="F6" s="30">
        <v>8.540287161851404</v>
      </c>
      <c r="G6" s="30">
        <v>9.261533751286077</v>
      </c>
      <c r="H6" s="30">
        <v>9.934227082427764</v>
      </c>
      <c r="I6" s="30">
        <v>9.874261579166879</v>
      </c>
      <c r="J6" s="30">
        <v>9.928148193152495</v>
      </c>
      <c r="K6" s="30">
        <v>8.214747736093143</v>
      </c>
      <c r="L6" s="30">
        <v>8.003790764210867</v>
      </c>
      <c r="M6" s="30">
        <v>6.399981058139673</v>
      </c>
    </row>
    <row r="7" spans="2:13" ht="12.75">
      <c r="B7" s="11" t="s">
        <v>1</v>
      </c>
      <c r="C7" s="13">
        <v>8.294712406921525</v>
      </c>
      <c r="D7" s="13">
        <v>2.4347933673403634</v>
      </c>
      <c r="E7" s="13">
        <v>2.6097723823975723</v>
      </c>
      <c r="F7" s="13">
        <v>3.0749947681208667</v>
      </c>
      <c r="G7" s="13">
        <v>2.755883968770588</v>
      </c>
      <c r="H7" s="13">
        <v>2.951940592609044</v>
      </c>
      <c r="I7" s="13">
        <v>3.3116752751364276</v>
      </c>
      <c r="J7" s="13">
        <v>2.2831796995688234</v>
      </c>
      <c r="K7" s="13">
        <v>1.4088780337688627</v>
      </c>
      <c r="L7" s="13">
        <v>2.1020077903837175</v>
      </c>
      <c r="M7" s="13">
        <v>1.7824011738487866</v>
      </c>
    </row>
    <row r="8" spans="2:13" ht="12.75">
      <c r="B8" s="11" t="s">
        <v>56</v>
      </c>
      <c r="C8" s="13">
        <v>2.955698454866715</v>
      </c>
      <c r="D8" s="13">
        <v>3.2424113864557076</v>
      </c>
      <c r="E8" s="13" t="s">
        <v>13</v>
      </c>
      <c r="F8" s="13">
        <v>4.048000613426369</v>
      </c>
      <c r="G8" s="13">
        <v>4.37478521793592</v>
      </c>
      <c r="H8" s="13">
        <v>4.083633741888969</v>
      </c>
      <c r="I8" s="13">
        <v>4.073895826473146</v>
      </c>
      <c r="J8" s="13">
        <v>4.0088271302982825</v>
      </c>
      <c r="K8" s="13">
        <v>3.202664126800192</v>
      </c>
      <c r="L8" s="13">
        <v>3.720493981553853</v>
      </c>
      <c r="M8" s="13">
        <v>3.041592445683484</v>
      </c>
    </row>
    <row r="9" spans="2:13" ht="12.75">
      <c r="B9" s="11" t="s">
        <v>24</v>
      </c>
      <c r="C9" s="13" t="s">
        <v>13</v>
      </c>
      <c r="D9" s="13">
        <v>6.839523349610409</v>
      </c>
      <c r="E9" s="13">
        <v>7.738095238095238</v>
      </c>
      <c r="F9" s="13">
        <v>9.053158996533856</v>
      </c>
      <c r="G9" s="13">
        <v>10.031961400287495</v>
      </c>
      <c r="H9" s="13">
        <v>9.811640433941713</v>
      </c>
      <c r="I9" s="13">
        <v>9.467652803361998</v>
      </c>
      <c r="J9" s="13">
        <v>9.463232058446383</v>
      </c>
      <c r="K9" s="13">
        <v>8.626023310090131</v>
      </c>
      <c r="L9" s="13">
        <v>9.036597162381756</v>
      </c>
      <c r="M9" s="13">
        <v>8.390911295240848</v>
      </c>
    </row>
    <row r="10" spans="2:13" ht="12.75">
      <c r="B10" s="11" t="s">
        <v>2</v>
      </c>
      <c r="C10" s="13">
        <v>10.55821041241459</v>
      </c>
      <c r="D10" s="13">
        <v>10.086734960251656</v>
      </c>
      <c r="E10" s="13">
        <v>10.34475957009906</v>
      </c>
      <c r="F10" s="13">
        <v>10.39653810429091</v>
      </c>
      <c r="G10" s="13">
        <v>10.685339936997142</v>
      </c>
      <c r="H10" s="13">
        <v>10.61983734981206</v>
      </c>
      <c r="I10" s="13">
        <v>10.708523978432883</v>
      </c>
      <c r="J10" s="13">
        <v>10.940465365744481</v>
      </c>
      <c r="K10" s="13">
        <v>8.849921503169508</v>
      </c>
      <c r="L10" s="13">
        <v>8.561851664598287</v>
      </c>
      <c r="M10" s="13">
        <v>7.403272357382063</v>
      </c>
    </row>
    <row r="11" spans="2:13" ht="12.75">
      <c r="B11" s="11" t="s">
        <v>3</v>
      </c>
      <c r="C11" s="13">
        <v>3.967289454256346</v>
      </c>
      <c r="D11" s="13">
        <v>4.061530450630275</v>
      </c>
      <c r="E11" s="13">
        <v>4.159508186541368</v>
      </c>
      <c r="F11" s="13">
        <v>4.60239945761646</v>
      </c>
      <c r="G11" s="13">
        <v>4.836578356450465</v>
      </c>
      <c r="H11" s="13">
        <v>5.079282104896323</v>
      </c>
      <c r="I11" s="13">
        <v>5.015952373121073</v>
      </c>
      <c r="J11" s="13">
        <v>4.1879266292948945</v>
      </c>
      <c r="K11" s="13">
        <v>2.812666233228914</v>
      </c>
      <c r="L11" s="13">
        <v>3.5386987181317267</v>
      </c>
      <c r="M11" s="13">
        <v>3.2609072562468358</v>
      </c>
    </row>
    <row r="12" spans="2:13" ht="12.75">
      <c r="B12" s="11" t="s">
        <v>25</v>
      </c>
      <c r="C12" s="13">
        <v>3.612147043153969</v>
      </c>
      <c r="D12" s="13">
        <v>3.802597892157632</v>
      </c>
      <c r="E12" s="13">
        <v>5.183087957719894</v>
      </c>
      <c r="F12" s="13">
        <v>7.854296753456645</v>
      </c>
      <c r="G12" s="13">
        <v>8.846004592522998</v>
      </c>
      <c r="H12" s="13">
        <v>7.175389509701266</v>
      </c>
      <c r="I12" s="13">
        <v>7.317758927542181</v>
      </c>
      <c r="J12" s="13">
        <v>7.534701793379965</v>
      </c>
      <c r="K12" s="13">
        <v>5.8064635545848295</v>
      </c>
      <c r="L12" s="13">
        <v>7.4611103182531755</v>
      </c>
      <c r="M12" s="13">
        <v>6.250288865950793</v>
      </c>
    </row>
    <row r="13" spans="2:13" ht="12.75">
      <c r="B13" s="11" t="s">
        <v>26</v>
      </c>
      <c r="C13" s="13" t="s">
        <v>13</v>
      </c>
      <c r="D13" s="13" t="s">
        <v>13</v>
      </c>
      <c r="E13" s="13" t="s">
        <v>13</v>
      </c>
      <c r="F13" s="13" t="s">
        <v>13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13</v>
      </c>
    </row>
    <row r="14" spans="2:13" ht="12.75">
      <c r="B14" s="11" t="s">
        <v>27</v>
      </c>
      <c r="C14" s="13">
        <v>2.0898180423918027</v>
      </c>
      <c r="D14" s="13" t="s">
        <v>13</v>
      </c>
      <c r="E14" s="13">
        <v>2.736857940155334</v>
      </c>
      <c r="F14" s="13">
        <v>3.3594040230425932</v>
      </c>
      <c r="G14" s="13">
        <v>2.8856737186849646</v>
      </c>
      <c r="H14" s="13">
        <v>2.9761437398561448</v>
      </c>
      <c r="I14" s="13">
        <v>3.247108920709067</v>
      </c>
      <c r="J14" s="13">
        <v>3.335850670691772</v>
      </c>
      <c r="K14" s="13">
        <v>2.5240885655186207</v>
      </c>
      <c r="L14" s="13">
        <v>2.8177055363210477</v>
      </c>
      <c r="M14" s="13">
        <v>2.5940720320309056</v>
      </c>
    </row>
    <row r="15" spans="2:13" ht="12.75">
      <c r="B15" s="11" t="s">
        <v>4</v>
      </c>
      <c r="C15" s="13">
        <v>6.80876254093727</v>
      </c>
      <c r="D15" s="13">
        <v>7.741800355818873</v>
      </c>
      <c r="E15" s="13">
        <v>7.65397053539346</v>
      </c>
      <c r="F15" s="13">
        <v>6.856632508870085</v>
      </c>
      <c r="G15" s="13">
        <v>6.411184003624173</v>
      </c>
      <c r="H15" s="13">
        <v>7.0884701038729725</v>
      </c>
      <c r="I15" s="13">
        <v>7.439047173174727</v>
      </c>
      <c r="J15" s="13">
        <v>7.885438477501038</v>
      </c>
      <c r="K15" s="13">
        <v>6.560402160852005</v>
      </c>
      <c r="L15" s="13">
        <v>6.881312935188554</v>
      </c>
      <c r="M15" s="13">
        <v>5.6480608707157955</v>
      </c>
    </row>
    <row r="16" spans="2:13" ht="12.75">
      <c r="B16" s="11" t="s">
        <v>5</v>
      </c>
      <c r="C16" s="13">
        <v>3.7084343609282993</v>
      </c>
      <c r="D16" s="13">
        <v>5.182704590890392</v>
      </c>
      <c r="E16" s="13">
        <v>5.915839297263107</v>
      </c>
      <c r="F16" s="13">
        <v>7.624689601390039</v>
      </c>
      <c r="G16" s="13">
        <v>9.51791310564041</v>
      </c>
      <c r="H16" s="13">
        <v>9.842435349700699</v>
      </c>
      <c r="I16" s="13">
        <v>10.294150073868272</v>
      </c>
      <c r="J16" s="13">
        <v>10.49728892331526</v>
      </c>
      <c r="K16" s="13">
        <v>8.172587326854059</v>
      </c>
      <c r="L16" s="13">
        <v>2.674121794092622</v>
      </c>
      <c r="M16" s="13">
        <v>2.4096762514359273</v>
      </c>
    </row>
    <row r="17" spans="2:13" ht="12.75">
      <c r="B17" s="11" t="s">
        <v>28</v>
      </c>
      <c r="C17" s="13">
        <v>2.745352898788204</v>
      </c>
      <c r="D17" s="13">
        <v>2.4144306093396373</v>
      </c>
      <c r="E17" s="13">
        <v>2.893031612293626</v>
      </c>
      <c r="F17" s="13">
        <v>3.192964457704605</v>
      </c>
      <c r="G17" s="13">
        <v>4.695584577114428</v>
      </c>
      <c r="H17" s="13">
        <v>4.617746666494377</v>
      </c>
      <c r="I17" s="13">
        <v>4.27661141352283</v>
      </c>
      <c r="J17" s="13">
        <v>4.313555013324195</v>
      </c>
      <c r="K17" s="13">
        <v>3.526724134613273</v>
      </c>
      <c r="L17" s="13">
        <v>4.319387568051455</v>
      </c>
      <c r="M17" s="206">
        <f>(143925+7407+14285)*100/(3844165+517103+213731)</f>
        <v>3.6200445071135534</v>
      </c>
    </row>
    <row r="18" spans="2:13" ht="12.75">
      <c r="B18" s="11" t="s">
        <v>40</v>
      </c>
      <c r="C18" s="13">
        <v>2.2128834301891107</v>
      </c>
      <c r="D18" s="13">
        <v>0.8856778736396226</v>
      </c>
      <c r="E18" s="13">
        <v>1.1259406774792715</v>
      </c>
      <c r="F18" s="13">
        <v>1.4339920644092607</v>
      </c>
      <c r="G18" s="13">
        <v>1.725240818783865</v>
      </c>
      <c r="H18" s="13">
        <v>1.9425495382616362</v>
      </c>
      <c r="I18" s="13">
        <v>1.590389222096144</v>
      </c>
      <c r="J18" s="13">
        <v>1.7582762955720075</v>
      </c>
      <c r="K18" s="13">
        <v>1.3114895080839355</v>
      </c>
      <c r="L18" s="13">
        <v>1.715482590777267</v>
      </c>
      <c r="M18" s="13">
        <v>1.7420075271930187</v>
      </c>
    </row>
    <row r="19" spans="2:13" ht="12.75">
      <c r="B19" s="11" t="s">
        <v>29</v>
      </c>
      <c r="C19" s="13">
        <v>12.159417060928142</v>
      </c>
      <c r="D19" s="13">
        <v>14.02962295779229</v>
      </c>
      <c r="E19" s="13">
        <v>4.440838891893516</v>
      </c>
      <c r="F19" s="13">
        <v>4.528012279355334</v>
      </c>
      <c r="G19" s="13">
        <v>4.912748165153984</v>
      </c>
      <c r="H19" s="13">
        <v>4.7072053980239374</v>
      </c>
      <c r="I19" s="13">
        <v>4.869354675992871</v>
      </c>
      <c r="J19" s="13">
        <v>4.479197467993998</v>
      </c>
      <c r="K19" s="13">
        <v>3.180574925134326</v>
      </c>
      <c r="L19" s="13">
        <v>4.328611658984717</v>
      </c>
      <c r="M19" s="13">
        <v>4.198626540508818</v>
      </c>
    </row>
    <row r="20" spans="2:13" ht="12.75">
      <c r="B20" s="11" t="s">
        <v>30</v>
      </c>
      <c r="C20" s="13" t="s">
        <v>13</v>
      </c>
      <c r="D20" s="13">
        <v>3.9520966456466113</v>
      </c>
      <c r="E20" s="13">
        <v>4.249641348729422</v>
      </c>
      <c r="F20" s="13">
        <v>5.556095475042762</v>
      </c>
      <c r="G20" s="13">
        <v>7.598998135215182</v>
      </c>
      <c r="H20" s="13">
        <v>7.988644526956266</v>
      </c>
      <c r="I20" s="13">
        <v>8.782036490368165</v>
      </c>
      <c r="J20" s="13">
        <v>7.513174551770836</v>
      </c>
      <c r="K20" s="13">
        <v>4.7713773199042375</v>
      </c>
      <c r="L20" s="13">
        <v>7.146121702794463</v>
      </c>
      <c r="M20" s="13">
        <v>8.29358252528412</v>
      </c>
    </row>
    <row r="21" spans="2:13" ht="12.75">
      <c r="B21" s="11" t="s">
        <v>31</v>
      </c>
      <c r="C21" s="13" t="s">
        <v>13</v>
      </c>
      <c r="D21" s="13">
        <v>10.863273055577684</v>
      </c>
      <c r="E21" s="13">
        <v>11.370141020971015</v>
      </c>
      <c r="F21" s="13">
        <v>12.338909384949714</v>
      </c>
      <c r="G21" s="13">
        <v>13.583688906128783</v>
      </c>
      <c r="H21" s="13">
        <v>13.663242353268556</v>
      </c>
      <c r="I21" s="13">
        <v>13.11406142282118</v>
      </c>
      <c r="J21" s="13">
        <v>13.20148173379886</v>
      </c>
      <c r="K21" s="13">
        <v>11.148885317509375</v>
      </c>
      <c r="L21" s="13">
        <v>11.140215104972814</v>
      </c>
      <c r="M21" s="13">
        <v>9.796263875795995</v>
      </c>
    </row>
    <row r="22" spans="2:13" ht="12.75">
      <c r="B22" s="11" t="s">
        <v>6</v>
      </c>
      <c r="C22" s="13">
        <v>5.44859646981484</v>
      </c>
      <c r="D22" s="13">
        <v>3.853461263290313</v>
      </c>
      <c r="E22" s="13">
        <v>4.909377083720901</v>
      </c>
      <c r="F22" s="13">
        <v>5.035295634948624</v>
      </c>
      <c r="G22" s="13">
        <v>5.474222457733649</v>
      </c>
      <c r="H22" s="13">
        <v>5.033113559325158</v>
      </c>
      <c r="I22" s="13">
        <v>5.4125071212586</v>
      </c>
      <c r="J22" s="13">
        <v>5.563722624079117</v>
      </c>
      <c r="K22" s="13">
        <v>4.448735835297213</v>
      </c>
      <c r="L22" s="13">
        <v>4.703636845547377</v>
      </c>
      <c r="M22" s="13">
        <v>4.1679197225887625</v>
      </c>
    </row>
    <row r="23" spans="2:13" ht="12.75">
      <c r="B23" s="11" t="s">
        <v>41</v>
      </c>
      <c r="C23" s="13">
        <v>3.8875878220140514</v>
      </c>
      <c r="D23" s="13">
        <v>3.9739984325296205</v>
      </c>
      <c r="E23" s="13">
        <v>3.802807319893875</v>
      </c>
      <c r="F23" s="13">
        <v>1.3635025254241127</v>
      </c>
      <c r="G23" s="13">
        <v>1.6564471304424546</v>
      </c>
      <c r="H23" s="13">
        <v>1.5957900119311401</v>
      </c>
      <c r="I23" s="13">
        <v>1.8689673545504846</v>
      </c>
      <c r="J23" s="13">
        <v>1.550096757632005</v>
      </c>
      <c r="K23" s="13">
        <v>1.2220428867881024</v>
      </c>
      <c r="L23" s="13">
        <v>1.1690698599768838</v>
      </c>
      <c r="M23" s="13">
        <v>1.4386213057395965</v>
      </c>
    </row>
    <row r="24" spans="2:13" ht="12.75">
      <c r="B24" s="11" t="s">
        <v>32</v>
      </c>
      <c r="C24" s="13" t="s">
        <v>13</v>
      </c>
      <c r="D24" s="13">
        <v>6.621723618122147</v>
      </c>
      <c r="E24" s="13">
        <v>6.480840349773355</v>
      </c>
      <c r="F24" s="13">
        <v>7.3404259737670605</v>
      </c>
      <c r="G24" s="13">
        <v>8.562444072577994</v>
      </c>
      <c r="H24" s="13">
        <v>8.501611916254644</v>
      </c>
      <c r="I24" s="13">
        <v>8.992615806295493</v>
      </c>
      <c r="J24" s="13">
        <v>8.315205613983318</v>
      </c>
      <c r="K24" s="13">
        <v>6.323337561152383</v>
      </c>
      <c r="L24" s="13">
        <v>7.074980211878239</v>
      </c>
      <c r="M24" s="13">
        <v>6.287252569893807</v>
      </c>
    </row>
    <row r="25" spans="2:13" ht="12.75">
      <c r="B25" s="11" t="s">
        <v>55</v>
      </c>
      <c r="C25" s="13">
        <v>9.146170189779971</v>
      </c>
      <c r="D25" s="13">
        <v>8.980299092176141</v>
      </c>
      <c r="E25" s="13">
        <v>8.736649690169344</v>
      </c>
      <c r="F25" s="13">
        <v>9.040747889185921</v>
      </c>
      <c r="G25" s="13">
        <v>9.601193314290464</v>
      </c>
      <c r="H25" s="13">
        <v>10.185813158992204</v>
      </c>
      <c r="I25" s="13">
        <v>10.468851909512935</v>
      </c>
      <c r="J25" s="13">
        <v>10.022396525522504</v>
      </c>
      <c r="K25" s="13">
        <v>7.941741875049376</v>
      </c>
      <c r="L25" s="13">
        <v>11.531864687340413</v>
      </c>
      <c r="M25" s="13">
        <v>4.957663174634173</v>
      </c>
    </row>
    <row r="26" spans="2:13" ht="12.75">
      <c r="B26" s="11" t="s">
        <v>7</v>
      </c>
      <c r="C26" s="13">
        <v>3.772398092514014</v>
      </c>
      <c r="D26" s="13">
        <v>3.8608000027652656</v>
      </c>
      <c r="E26" s="13">
        <v>5.037334431733549</v>
      </c>
      <c r="F26" s="13">
        <v>4.731582732029061</v>
      </c>
      <c r="G26" s="13">
        <v>5.139388072749945</v>
      </c>
      <c r="H26" s="13">
        <v>4.707579013147354</v>
      </c>
      <c r="I26" s="13">
        <v>5.050033620059534</v>
      </c>
      <c r="J26" s="13">
        <v>4.9349336435691855</v>
      </c>
      <c r="K26" s="13">
        <v>4.261212397481776</v>
      </c>
      <c r="L26" s="13">
        <v>4.950497461355183</v>
      </c>
      <c r="M26" s="13">
        <v>4.0726533251028245</v>
      </c>
    </row>
    <row r="27" spans="2:13" ht="12.75">
      <c r="B27" s="11" t="s">
        <v>34</v>
      </c>
      <c r="C27" s="13">
        <v>1.5125377021447095</v>
      </c>
      <c r="D27" s="13" t="s">
        <v>13</v>
      </c>
      <c r="E27" s="13">
        <v>2.3562971646872053</v>
      </c>
      <c r="F27" s="13">
        <v>2.85093346958885</v>
      </c>
      <c r="G27" s="13">
        <v>3.1748054520730666</v>
      </c>
      <c r="H27" s="13">
        <v>3.072669578057746</v>
      </c>
      <c r="I27" s="13">
        <v>3.148691665206472</v>
      </c>
      <c r="J27" s="13">
        <v>2.817100614985014</v>
      </c>
      <c r="K27" s="13">
        <v>2.215949764926167</v>
      </c>
      <c r="L27" s="13">
        <v>2.3317112442717147</v>
      </c>
      <c r="M27" s="13">
        <v>1.942564980693303</v>
      </c>
    </row>
    <row r="28" spans="2:13" ht="12.75">
      <c r="B28" s="11" t="s">
        <v>139</v>
      </c>
      <c r="C28" s="13">
        <v>7.844417342893576</v>
      </c>
      <c r="D28" s="13">
        <v>1.9682861078083984</v>
      </c>
      <c r="E28" s="13">
        <v>3.487039042099229</v>
      </c>
      <c r="F28" s="13">
        <v>4.919629349470499</v>
      </c>
      <c r="G28" s="13">
        <v>5.838662741515243</v>
      </c>
      <c r="H28" s="13">
        <v>4.115654713815176</v>
      </c>
      <c r="I28" s="13">
        <v>4.196398355426588</v>
      </c>
      <c r="J28" s="13">
        <v>3.339321927782995</v>
      </c>
      <c r="K28" s="13">
        <v>1.7411419322284911</v>
      </c>
      <c r="L28" s="13">
        <v>2.6095592799503415</v>
      </c>
      <c r="M28" s="13">
        <v>0.45289324031189543</v>
      </c>
    </row>
    <row r="29" spans="2:13" ht="12.75">
      <c r="B29" s="11" t="s">
        <v>96</v>
      </c>
      <c r="C29" s="13">
        <v>7.889062648090228</v>
      </c>
      <c r="D29" s="13">
        <v>8.082589748910562</v>
      </c>
      <c r="E29" s="13">
        <v>9.919307222987602</v>
      </c>
      <c r="F29" s="13">
        <v>11.972452763552887</v>
      </c>
      <c r="G29" s="13">
        <v>12.811031507588014</v>
      </c>
      <c r="H29" s="13">
        <v>11.751570132588975</v>
      </c>
      <c r="I29" s="13">
        <v>11.76544450025113</v>
      </c>
      <c r="J29" s="13">
        <v>9.253178914691661</v>
      </c>
      <c r="K29" s="13">
        <v>5.260965303814795</v>
      </c>
      <c r="L29" s="13">
        <v>7.577158709975726</v>
      </c>
      <c r="M29" s="13">
        <v>9.91207034372502</v>
      </c>
    </row>
    <row r="30" spans="2:13" ht="12.75">
      <c r="B30" s="11" t="s">
        <v>9</v>
      </c>
      <c r="C30" s="13">
        <v>5.360021667075074</v>
      </c>
      <c r="D30" s="13">
        <v>3.0259052318409405</v>
      </c>
      <c r="E30" s="13">
        <v>3.1008701629726425</v>
      </c>
      <c r="F30" s="13">
        <v>3.7588771902021576</v>
      </c>
      <c r="G30" s="13">
        <v>3.825535904814252</v>
      </c>
      <c r="H30" s="13">
        <v>3.62890113186102</v>
      </c>
      <c r="I30" s="13">
        <v>4.003067673619238</v>
      </c>
      <c r="J30" s="13">
        <v>3.858221394254339</v>
      </c>
      <c r="K30" s="13">
        <v>2.436135240858754</v>
      </c>
      <c r="L30" s="13">
        <v>3.2116893485973623</v>
      </c>
      <c r="M30" s="13">
        <v>3.114992981175304</v>
      </c>
    </row>
    <row r="31" spans="2:13" ht="12.75">
      <c r="B31" s="11" t="s">
        <v>10</v>
      </c>
      <c r="C31" s="13">
        <v>2.92538336793692</v>
      </c>
      <c r="D31" s="13">
        <v>2.7059375293124472</v>
      </c>
      <c r="E31" s="13">
        <v>2.457282047553261</v>
      </c>
      <c r="F31" s="13">
        <v>2.5442754242804915</v>
      </c>
      <c r="G31" s="13">
        <v>2.93483712670634</v>
      </c>
      <c r="H31" s="13">
        <v>3.1855711788798162</v>
      </c>
      <c r="I31" s="13">
        <v>3.1367198674643118</v>
      </c>
      <c r="J31" s="13">
        <v>2.934202681772051</v>
      </c>
      <c r="K31" s="13">
        <v>2.4513701171357396</v>
      </c>
      <c r="L31" s="13">
        <v>2.4189433347179956</v>
      </c>
      <c r="M31" s="13">
        <v>2.11733064949234</v>
      </c>
    </row>
    <row r="32" spans="2:13" ht="12.75">
      <c r="B32" s="11" t="s">
        <v>36</v>
      </c>
      <c r="C32" s="13" t="s">
        <v>13</v>
      </c>
      <c r="D32" s="13">
        <v>7.867124119938531</v>
      </c>
      <c r="E32" s="13">
        <v>8.490418527076566</v>
      </c>
      <c r="F32" s="13">
        <v>8.794859984013655</v>
      </c>
      <c r="G32" s="13">
        <v>9.96217228403061</v>
      </c>
      <c r="H32" s="13">
        <v>10.2333744426525</v>
      </c>
      <c r="I32" s="13">
        <v>10.15688470912627</v>
      </c>
      <c r="J32" s="13">
        <v>9.556002027222705</v>
      </c>
      <c r="K32" s="13">
        <v>5.659408045755146</v>
      </c>
      <c r="L32" s="13">
        <v>6.328152500806995</v>
      </c>
      <c r="M32" s="13">
        <v>6.086724048749586</v>
      </c>
    </row>
    <row r="33" spans="2:13" ht="12.75">
      <c r="B33" s="11" t="s">
        <v>101</v>
      </c>
      <c r="C33" s="13" t="s">
        <v>13</v>
      </c>
      <c r="D33" s="13" t="s">
        <v>13</v>
      </c>
      <c r="E33" s="13" t="s">
        <v>13</v>
      </c>
      <c r="F33" s="13" t="s">
        <v>13</v>
      </c>
      <c r="G33" s="13" t="s">
        <v>13</v>
      </c>
      <c r="H33" s="13">
        <v>9.569702021254429</v>
      </c>
      <c r="I33" s="13">
        <v>7.881821993144097</v>
      </c>
      <c r="J33" s="13">
        <v>5.494531792184172</v>
      </c>
      <c r="K33" s="13">
        <v>4.112838821816132</v>
      </c>
      <c r="L33" s="13">
        <v>4.793087767166894</v>
      </c>
      <c r="M33" s="13" t="s">
        <v>13</v>
      </c>
    </row>
    <row r="34" spans="2:13" ht="12.75">
      <c r="B34" s="11" t="s">
        <v>42</v>
      </c>
      <c r="C34" s="13" t="s">
        <v>13</v>
      </c>
      <c r="D34" s="13">
        <v>6.642903434867142</v>
      </c>
      <c r="E34" s="13">
        <v>7.655194596333226</v>
      </c>
      <c r="F34" s="13">
        <v>9.565764631843928</v>
      </c>
      <c r="G34" s="13">
        <v>8.52099817407182</v>
      </c>
      <c r="H34" s="13">
        <v>8.138839018551765</v>
      </c>
      <c r="I34" s="13">
        <v>8.619685497961562</v>
      </c>
      <c r="J34" s="13">
        <v>7.716312056737588</v>
      </c>
      <c r="K34" s="13">
        <v>6.469760900140647</v>
      </c>
      <c r="L34" s="13">
        <v>6.556473829201102</v>
      </c>
      <c r="M34" s="13">
        <v>6.244864420706656</v>
      </c>
    </row>
    <row r="35" spans="2:13" ht="12.75">
      <c r="B35" s="11" t="s">
        <v>37</v>
      </c>
      <c r="C35" s="13">
        <v>6.904897074436711</v>
      </c>
      <c r="D35" s="13" t="s">
        <v>13</v>
      </c>
      <c r="E35" s="13" t="s">
        <v>13</v>
      </c>
      <c r="F35" s="13" t="s">
        <v>13</v>
      </c>
      <c r="G35" s="13">
        <v>7.013258460343621</v>
      </c>
      <c r="H35" s="13">
        <v>7.0927408553298</v>
      </c>
      <c r="I35" s="13">
        <v>7.15341423398959</v>
      </c>
      <c r="J35" s="13">
        <v>7.241569160068291</v>
      </c>
      <c r="K35" s="13">
        <v>6.2703706802206565</v>
      </c>
      <c r="L35" s="13">
        <v>6.472059657203223</v>
      </c>
      <c r="M35" s="13">
        <v>5.718184678704419</v>
      </c>
    </row>
    <row r="36" spans="2:13" ht="12.75">
      <c r="B36" s="11" t="s">
        <v>38</v>
      </c>
      <c r="C36" s="13">
        <v>9.533020171318043</v>
      </c>
      <c r="D36" s="13">
        <v>8.787406324304383</v>
      </c>
      <c r="E36" s="13">
        <v>8.738336459306112</v>
      </c>
      <c r="F36" s="13">
        <v>8.966000843500222</v>
      </c>
      <c r="G36" s="13">
        <v>8.575916127091523</v>
      </c>
      <c r="H36" s="13">
        <v>9.003339727875803</v>
      </c>
      <c r="I36" s="13">
        <v>8.754034439655976</v>
      </c>
      <c r="J36" s="13">
        <v>9.076327998275842</v>
      </c>
      <c r="K36" s="13">
        <v>7.1674045636087795</v>
      </c>
      <c r="L36" s="13">
        <v>7.198965851556609</v>
      </c>
      <c r="M36" s="13">
        <v>6.083907557902437</v>
      </c>
    </row>
    <row r="37" spans="2:13" ht="12.75">
      <c r="B37" s="1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ht="12.75">
      <c r="B38" s="14" t="s">
        <v>78</v>
      </c>
      <c r="C38" s="16" t="s">
        <v>13</v>
      </c>
      <c r="D38" s="16">
        <v>1.8589589829695372</v>
      </c>
      <c r="E38" s="16">
        <v>2.136266332029231</v>
      </c>
      <c r="F38" s="16">
        <v>2.223603741668715</v>
      </c>
      <c r="G38" s="16">
        <v>2.705141017099711</v>
      </c>
      <c r="H38" s="16">
        <v>3.1265853202680693</v>
      </c>
      <c r="I38" s="16">
        <v>1.5853201847459741</v>
      </c>
      <c r="J38" s="16">
        <v>3.025854131933212</v>
      </c>
      <c r="K38" s="16">
        <v>1.7423941141379997</v>
      </c>
      <c r="L38" s="16">
        <v>2.190466134009128</v>
      </c>
      <c r="M38" s="16">
        <v>2.1007730661909334</v>
      </c>
    </row>
    <row r="39" spans="2:13" ht="12.75">
      <c r="B39" s="11" t="s">
        <v>79</v>
      </c>
      <c r="C39" s="13" t="s">
        <v>13</v>
      </c>
      <c r="D39" s="13" t="s">
        <v>13</v>
      </c>
      <c r="E39" s="13" t="s">
        <v>13</v>
      </c>
      <c r="F39" s="13" t="s">
        <v>13</v>
      </c>
      <c r="G39" s="13">
        <v>2.776649058648246</v>
      </c>
      <c r="H39" s="13">
        <v>2.4024024024024024</v>
      </c>
      <c r="I39" s="13">
        <v>2.505643340857788</v>
      </c>
      <c r="J39" s="13">
        <v>2.185136897001304</v>
      </c>
      <c r="K39" s="13" t="s">
        <v>13</v>
      </c>
      <c r="L39" s="13" t="s">
        <v>13</v>
      </c>
      <c r="M39" s="13" t="s">
        <v>13</v>
      </c>
    </row>
    <row r="40" spans="2:13" ht="12.75">
      <c r="B40" s="11" t="s">
        <v>199</v>
      </c>
      <c r="C40" s="13">
        <v>8.062156626897696</v>
      </c>
      <c r="D40" s="13">
        <v>10.21483583299554</v>
      </c>
      <c r="E40" s="13">
        <v>9.584603658536585</v>
      </c>
      <c r="F40" s="13">
        <v>10.420106402494955</v>
      </c>
      <c r="G40" s="13">
        <v>12.978723404255318</v>
      </c>
      <c r="H40" s="13">
        <v>11.613014884042922</v>
      </c>
      <c r="I40" s="13">
        <v>9.068234455727776</v>
      </c>
      <c r="J40" s="13">
        <v>9.714795008912656</v>
      </c>
      <c r="K40" s="13">
        <v>9.597030752916226</v>
      </c>
      <c r="L40" s="13">
        <v>10.671678378820069</v>
      </c>
      <c r="M40" s="13">
        <v>9.79209649262022</v>
      </c>
    </row>
    <row r="41" spans="2:13" ht="12.75">
      <c r="B41" s="11" t="s">
        <v>195</v>
      </c>
      <c r="C41" s="13" t="s">
        <v>13</v>
      </c>
      <c r="D41" s="13" t="s">
        <v>13</v>
      </c>
      <c r="E41" s="13" t="s">
        <v>13</v>
      </c>
      <c r="F41" s="13" t="s">
        <v>13</v>
      </c>
      <c r="G41" s="13" t="s">
        <v>13</v>
      </c>
      <c r="H41" s="13">
        <v>0.18913428534259324</v>
      </c>
      <c r="I41" s="13">
        <v>0.15787500246679692</v>
      </c>
      <c r="J41" s="13">
        <v>0.1753243020559888</v>
      </c>
      <c r="K41" s="13">
        <v>0.1753243020559888</v>
      </c>
      <c r="L41" s="13">
        <v>0.26304171878448973</v>
      </c>
      <c r="M41" s="13">
        <v>0.26355794226911694</v>
      </c>
    </row>
    <row r="42" spans="2:13" ht="12.75">
      <c r="B42" s="11" t="s">
        <v>77</v>
      </c>
      <c r="C42" s="13" t="s">
        <v>13</v>
      </c>
      <c r="D42" s="13" t="s">
        <v>13</v>
      </c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13</v>
      </c>
      <c r="L42" s="13" t="s">
        <v>13</v>
      </c>
      <c r="M42" s="13" t="s">
        <v>13</v>
      </c>
    </row>
    <row r="43" spans="2:13" ht="12.75">
      <c r="B43" s="11" t="s">
        <v>200</v>
      </c>
      <c r="C43" s="13" t="s">
        <v>13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>
        <v>13.05171946926618</v>
      </c>
      <c r="K43" s="13">
        <v>6.497130102040815</v>
      </c>
      <c r="L43" s="13">
        <v>7.106413994169096</v>
      </c>
      <c r="M43" s="13">
        <v>9.850162866449512</v>
      </c>
    </row>
    <row r="44" spans="2:13" ht="12.75">
      <c r="B44" s="11" t="s">
        <v>64</v>
      </c>
      <c r="C44" s="13" t="s">
        <v>13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</row>
    <row r="45" spans="2:13" ht="12.75">
      <c r="B45" s="11" t="s">
        <v>92</v>
      </c>
      <c r="C45" s="13">
        <v>5.137497505487927</v>
      </c>
      <c r="D45" s="13">
        <v>5.400379506641366</v>
      </c>
      <c r="E45" s="13">
        <v>4.751490208948579</v>
      </c>
      <c r="F45" s="13">
        <v>6.126734091729813</v>
      </c>
      <c r="G45" s="13">
        <v>5.210907590461352</v>
      </c>
      <c r="H45" s="13">
        <v>5.279912740444104</v>
      </c>
      <c r="I45" s="13">
        <v>3.2409180355232574</v>
      </c>
      <c r="J45" s="13">
        <v>1.8755116990563192</v>
      </c>
      <c r="K45" s="13">
        <v>3.2881363420572103</v>
      </c>
      <c r="L45" s="13">
        <v>4.000053583839113</v>
      </c>
      <c r="M45" s="13">
        <v>3.9186968120573864</v>
      </c>
    </row>
    <row r="46" spans="2:13" ht="12.75">
      <c r="B46" s="11" t="s">
        <v>157</v>
      </c>
      <c r="C46" s="13"/>
      <c r="D46" s="13"/>
      <c r="E46" s="13"/>
      <c r="F46" s="13"/>
      <c r="G46" s="13"/>
      <c r="H46" s="13"/>
      <c r="I46" s="13"/>
      <c r="J46" s="13"/>
      <c r="K46" s="13"/>
      <c r="L46" s="13" t="s">
        <v>13</v>
      </c>
      <c r="M46" s="13" t="s">
        <v>13</v>
      </c>
    </row>
    <row r="47" spans="2:13" ht="12.75"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ht="12.75">
      <c r="B48" s="14" t="s">
        <v>71</v>
      </c>
      <c r="C48" s="19" t="s">
        <v>13</v>
      </c>
      <c r="D48" s="19" t="s">
        <v>13</v>
      </c>
      <c r="E48" s="19" t="s">
        <v>13</v>
      </c>
      <c r="F48" s="19" t="s">
        <v>13</v>
      </c>
      <c r="G48" s="19" t="s">
        <v>13</v>
      </c>
      <c r="H48" s="19">
        <v>8.696665889484729</v>
      </c>
      <c r="I48" s="19">
        <v>9.925593818563389</v>
      </c>
      <c r="J48" s="19">
        <v>9.082304349696683</v>
      </c>
      <c r="K48" s="19" t="s">
        <v>13</v>
      </c>
      <c r="L48" s="19">
        <v>11.18620463668387</v>
      </c>
      <c r="M48" s="19" t="s">
        <v>13</v>
      </c>
    </row>
    <row r="49" ht="12.75"/>
    <row r="50" ht="12.75"/>
    <row r="51" ht="12.75">
      <c r="B51" s="3" t="s">
        <v>263</v>
      </c>
    </row>
    <row r="52" ht="12.75">
      <c r="B52" s="1" t="s">
        <v>104</v>
      </c>
    </row>
    <row r="53" ht="12.75">
      <c r="B53" s="1" t="s">
        <v>140</v>
      </c>
    </row>
    <row r="54" ht="12.75">
      <c r="B54" s="1" t="s">
        <v>198</v>
      </c>
    </row>
    <row r="55" ht="12.75">
      <c r="B55" s="1" t="s">
        <v>197</v>
      </c>
    </row>
    <row r="56" ht="14.25">
      <c r="B56" s="1" t="s">
        <v>196</v>
      </c>
    </row>
    <row r="57" ht="12.75">
      <c r="B57" s="1" t="s">
        <v>73</v>
      </c>
    </row>
    <row r="58" ht="12.75">
      <c r="B58" s="1" t="s">
        <v>72</v>
      </c>
    </row>
    <row r="59" ht="12.75">
      <c r="B59" s="32" t="s">
        <v>148</v>
      </c>
    </row>
    <row r="60" ht="15" customHeight="1"/>
    <row r="61" ht="12.75"/>
    <row r="64" spans="9:19" ht="15" customHeight="1">
      <c r="I64" s="22"/>
      <c r="L64" s="1"/>
      <c r="P64" s="3"/>
      <c r="S64" s="22"/>
    </row>
    <row r="65" spans="9:19" ht="15" customHeight="1">
      <c r="I65" s="22"/>
      <c r="L65" s="1"/>
      <c r="P65" s="3"/>
      <c r="S65" s="22"/>
    </row>
    <row r="68" spans="19:27" ht="15">
      <c r="S68" s="22"/>
      <c r="T68" s="22"/>
      <c r="U68" s="22"/>
      <c r="V68" s="22"/>
      <c r="W68" s="22"/>
      <c r="X68" s="22"/>
      <c r="Y68" s="22"/>
      <c r="Z68" s="22"/>
      <c r="AA68" s="22"/>
    </row>
    <row r="71" ht="15">
      <c r="B71" s="1"/>
    </row>
    <row r="73" spans="7:16" ht="13">
      <c r="G73" s="100"/>
      <c r="H73" s="99">
        <v>2012</v>
      </c>
      <c r="I73" s="99">
        <v>2015</v>
      </c>
      <c r="J73" s="99">
        <v>2016</v>
      </c>
      <c r="K73" s="99">
        <v>2017</v>
      </c>
      <c r="L73" s="99">
        <v>2018</v>
      </c>
      <c r="M73" s="99">
        <v>2019</v>
      </c>
      <c r="N73" s="99">
        <v>2020</v>
      </c>
      <c r="O73" s="99">
        <v>2021</v>
      </c>
      <c r="P73" s="99">
        <v>2022</v>
      </c>
    </row>
    <row r="74" spans="7:26" ht="13">
      <c r="G74" s="4" t="s">
        <v>137</v>
      </c>
      <c r="H74" s="13">
        <v>7.889062648090228</v>
      </c>
      <c r="I74" s="13">
        <v>11.972452763552887</v>
      </c>
      <c r="J74" s="13">
        <v>12.811031507588014</v>
      </c>
      <c r="K74" s="13">
        <v>11.751570132588975</v>
      </c>
      <c r="L74" s="13">
        <v>11.76544450025113</v>
      </c>
      <c r="M74" s="13">
        <v>9.253178914691661</v>
      </c>
      <c r="N74" s="13">
        <v>5.260965303814795</v>
      </c>
      <c r="O74" s="13">
        <v>7.577158709975726</v>
      </c>
      <c r="P74" s="13">
        <v>9.91207034372502</v>
      </c>
      <c r="R74" s="22"/>
      <c r="S74" s="22"/>
      <c r="T74" s="22"/>
      <c r="U74" s="22"/>
      <c r="V74" s="22"/>
      <c r="X74" s="22"/>
      <c r="Y74" s="22"/>
      <c r="Z74" s="22"/>
    </row>
    <row r="75" spans="7:26" ht="13">
      <c r="G75" s="4" t="s">
        <v>31</v>
      </c>
      <c r="H75" s="13" t="s">
        <v>13</v>
      </c>
      <c r="I75" s="13">
        <v>12.338909384949714</v>
      </c>
      <c r="J75" s="13">
        <v>13.583688906128783</v>
      </c>
      <c r="K75" s="13">
        <v>13.663242353268556</v>
      </c>
      <c r="L75" s="13">
        <v>13.11406142282118</v>
      </c>
      <c r="M75" s="13">
        <v>13.20148173379886</v>
      </c>
      <c r="N75" s="13">
        <v>11.148885317509375</v>
      </c>
      <c r="O75" s="13">
        <v>11.140215104972814</v>
      </c>
      <c r="P75" s="13">
        <v>9.796263875795995</v>
      </c>
      <c r="R75" s="22"/>
      <c r="S75" s="22"/>
      <c r="T75" s="22"/>
      <c r="U75" s="22"/>
      <c r="V75" s="22"/>
      <c r="X75" s="22"/>
      <c r="Y75" s="22"/>
      <c r="Z75" s="22"/>
    </row>
    <row r="76" spans="7:26" ht="13">
      <c r="G76" s="4" t="s">
        <v>24</v>
      </c>
      <c r="H76" s="13" t="s">
        <v>13</v>
      </c>
      <c r="I76" s="13">
        <v>9.053158996533856</v>
      </c>
      <c r="J76" s="13">
        <v>10.031961400287495</v>
      </c>
      <c r="K76" s="13">
        <v>9.811640433941713</v>
      </c>
      <c r="L76" s="13">
        <v>9.467652803361998</v>
      </c>
      <c r="M76" s="13">
        <v>9.463232058446383</v>
      </c>
      <c r="N76" s="13">
        <v>8.626023310090131</v>
      </c>
      <c r="O76" s="13">
        <v>9.036597162381756</v>
      </c>
      <c r="P76" s="13">
        <v>8.390911295240848</v>
      </c>
      <c r="R76" s="22"/>
      <c r="S76" s="22"/>
      <c r="T76" s="22"/>
      <c r="U76" s="22"/>
      <c r="V76" s="22"/>
      <c r="X76" s="22"/>
      <c r="Y76" s="22"/>
      <c r="Z76" s="22"/>
    </row>
    <row r="77" spans="7:26" ht="13">
      <c r="G77" s="4" t="s">
        <v>30</v>
      </c>
      <c r="H77" s="13" t="s">
        <v>13</v>
      </c>
      <c r="I77" s="13">
        <v>5.556095475042762</v>
      </c>
      <c r="J77" s="13">
        <v>7.598998135215182</v>
      </c>
      <c r="K77" s="13">
        <v>7.988644526956266</v>
      </c>
      <c r="L77" s="13">
        <v>8.782036490368165</v>
      </c>
      <c r="M77" s="13">
        <v>7.513174551770836</v>
      </c>
      <c r="N77" s="13">
        <v>4.7713773199042375</v>
      </c>
      <c r="O77" s="13">
        <v>7.146121702794463</v>
      </c>
      <c r="P77" s="13">
        <v>8.29358252528412</v>
      </c>
      <c r="R77" s="22"/>
      <c r="S77" s="22"/>
      <c r="T77" s="22"/>
      <c r="U77" s="22"/>
      <c r="V77" s="22"/>
      <c r="X77" s="22"/>
      <c r="Y77" s="22"/>
      <c r="Z77" s="22"/>
    </row>
    <row r="78" spans="7:26" ht="13">
      <c r="G78" s="4" t="s">
        <v>2</v>
      </c>
      <c r="H78" s="13">
        <v>10.55821041241459</v>
      </c>
      <c r="I78" s="13">
        <v>10.39653810429091</v>
      </c>
      <c r="J78" s="30">
        <v>10.685339936997142</v>
      </c>
      <c r="K78" s="30">
        <v>10.61983734981206</v>
      </c>
      <c r="L78" s="30">
        <v>10.708523978432883</v>
      </c>
      <c r="M78" s="30">
        <v>10.940465365744481</v>
      </c>
      <c r="N78" s="30">
        <v>8.849921503169508</v>
      </c>
      <c r="O78" s="30">
        <v>8.561851664598287</v>
      </c>
      <c r="P78" s="30">
        <v>7.403272357382063</v>
      </c>
      <c r="R78" s="22"/>
      <c r="S78" s="22"/>
      <c r="T78" s="22"/>
      <c r="U78" s="22"/>
      <c r="V78" s="22"/>
      <c r="X78" s="22"/>
      <c r="Y78" s="22"/>
      <c r="Z78" s="22"/>
    </row>
    <row r="79" spans="7:26" ht="12" customHeight="1">
      <c r="G79" s="4" t="s">
        <v>61</v>
      </c>
      <c r="H79" s="13" t="s">
        <v>13</v>
      </c>
      <c r="I79" s="13">
        <v>8.540287161851404</v>
      </c>
      <c r="J79" s="13">
        <v>9.261533751286077</v>
      </c>
      <c r="K79" s="13">
        <v>9.934227082427764</v>
      </c>
      <c r="L79" s="13">
        <v>9.874261579166879</v>
      </c>
      <c r="M79" s="13">
        <v>9.928148193152495</v>
      </c>
      <c r="N79" s="13">
        <v>8.214747736093143</v>
      </c>
      <c r="O79" s="13">
        <v>8.003790764210867</v>
      </c>
      <c r="P79" s="13">
        <v>6.399981058139673</v>
      </c>
      <c r="R79" s="22"/>
      <c r="S79" s="22"/>
      <c r="T79" s="22"/>
      <c r="U79" s="22"/>
      <c r="V79" s="22"/>
      <c r="X79" s="22"/>
      <c r="Y79" s="22"/>
      <c r="Z79" s="22"/>
    </row>
    <row r="80" spans="7:26" ht="13">
      <c r="G80" s="4" t="s">
        <v>32</v>
      </c>
      <c r="H80" s="13" t="s">
        <v>13</v>
      </c>
      <c r="I80" s="13">
        <v>7.3404259737670605</v>
      </c>
      <c r="J80" s="13">
        <v>8.562444072577994</v>
      </c>
      <c r="K80" s="13">
        <v>8.501611916254644</v>
      </c>
      <c r="L80" s="13">
        <v>8.992615806295493</v>
      </c>
      <c r="M80" s="13">
        <v>8.315205613983318</v>
      </c>
      <c r="N80" s="13">
        <v>6.323337561152383</v>
      </c>
      <c r="O80" s="13">
        <v>7.074980211878239</v>
      </c>
      <c r="P80" s="13">
        <v>6.287252569893807</v>
      </c>
      <c r="R80" s="22"/>
      <c r="S80" s="22"/>
      <c r="T80" s="22"/>
      <c r="U80" s="22"/>
      <c r="V80" s="22"/>
      <c r="X80" s="22"/>
      <c r="Y80" s="22"/>
      <c r="Z80" s="22"/>
    </row>
    <row r="81" spans="7:26" ht="13">
      <c r="G81" s="4" t="s">
        <v>25</v>
      </c>
      <c r="H81" s="13">
        <v>3.612147043153969</v>
      </c>
      <c r="I81" s="13">
        <v>7.854296753456645</v>
      </c>
      <c r="J81" s="13">
        <v>8.846004592522998</v>
      </c>
      <c r="K81" s="13">
        <v>7.175389509701266</v>
      </c>
      <c r="L81" s="13">
        <v>7.317758927542181</v>
      </c>
      <c r="M81" s="13">
        <v>7.534701793379965</v>
      </c>
      <c r="N81" s="13">
        <v>5.8064635545848295</v>
      </c>
      <c r="O81" s="13">
        <v>7.4611103182531755</v>
      </c>
      <c r="P81" s="13">
        <v>6.250288865950793</v>
      </c>
      <c r="R81" s="22"/>
      <c r="S81" s="22"/>
      <c r="T81" s="22"/>
      <c r="U81" s="22"/>
      <c r="V81" s="22"/>
      <c r="X81" s="22"/>
      <c r="Y81" s="22"/>
      <c r="Z81" s="22"/>
    </row>
    <row r="82" spans="7:26" ht="13">
      <c r="G82" s="4" t="s">
        <v>36</v>
      </c>
      <c r="H82" s="13" t="s">
        <v>13</v>
      </c>
      <c r="I82" s="13">
        <v>8.794859984013655</v>
      </c>
      <c r="J82" s="13">
        <v>9.96217228403061</v>
      </c>
      <c r="K82" s="13">
        <v>10.2333744426525</v>
      </c>
      <c r="L82" s="13">
        <v>10.15688470912627</v>
      </c>
      <c r="M82" s="13">
        <v>9.556002027222705</v>
      </c>
      <c r="N82" s="13">
        <v>5.659408045755146</v>
      </c>
      <c r="O82" s="13">
        <v>6.328152500806995</v>
      </c>
      <c r="P82" s="13">
        <v>6.086724048749586</v>
      </c>
      <c r="R82" s="22"/>
      <c r="S82" s="22"/>
      <c r="T82" s="22"/>
      <c r="U82" s="22"/>
      <c r="V82" s="22"/>
      <c r="X82" s="22"/>
      <c r="Y82" s="22"/>
      <c r="Z82" s="22"/>
    </row>
    <row r="83" spans="7:26" ht="13">
      <c r="G83" s="4" t="s">
        <v>4</v>
      </c>
      <c r="H83" s="13">
        <v>6.80876254093727</v>
      </c>
      <c r="I83" s="13">
        <v>6.856632508870085</v>
      </c>
      <c r="J83" s="13">
        <v>6.411184003624173</v>
      </c>
      <c r="K83" s="13">
        <v>7.0884701038729725</v>
      </c>
      <c r="L83" s="13">
        <v>7.439047173174727</v>
      </c>
      <c r="M83" s="13">
        <v>7.885438477501038</v>
      </c>
      <c r="N83" s="13">
        <v>6.560402160852005</v>
      </c>
      <c r="O83" s="13">
        <v>6.881312935188554</v>
      </c>
      <c r="P83" s="13">
        <v>5.6480608707157955</v>
      </c>
      <c r="R83" s="22"/>
      <c r="S83" s="22"/>
      <c r="T83" s="22"/>
      <c r="U83" s="22"/>
      <c r="V83" s="22"/>
      <c r="X83" s="22"/>
      <c r="Y83" s="22"/>
      <c r="Z83" s="22"/>
    </row>
    <row r="84" spans="7:26" ht="13">
      <c r="G84" s="4" t="s">
        <v>55</v>
      </c>
      <c r="H84" s="13">
        <v>9.146170189779971</v>
      </c>
      <c r="I84" s="13">
        <v>9.040747889185921</v>
      </c>
      <c r="J84" s="13">
        <v>9.601193314290464</v>
      </c>
      <c r="K84" s="13">
        <v>10.185813158992204</v>
      </c>
      <c r="L84" s="13">
        <v>10.468851909512935</v>
      </c>
      <c r="M84" s="13">
        <v>10.022396525522504</v>
      </c>
      <c r="N84" s="13">
        <v>7.941741875049376</v>
      </c>
      <c r="O84" s="13">
        <v>11.531864687340413</v>
      </c>
      <c r="P84" s="13">
        <v>4.957663174634173</v>
      </c>
      <c r="R84" s="22"/>
      <c r="S84" s="22"/>
      <c r="T84" s="22"/>
      <c r="U84" s="22"/>
      <c r="V84" s="22"/>
      <c r="X84" s="22"/>
      <c r="Y84" s="22"/>
      <c r="Z84" s="22"/>
    </row>
    <row r="85" spans="7:26" ht="13">
      <c r="G85" s="4" t="s">
        <v>29</v>
      </c>
      <c r="H85" s="13">
        <v>12.159417060928142</v>
      </c>
      <c r="I85" s="13">
        <v>4.528012279355334</v>
      </c>
      <c r="J85" s="13">
        <v>4.912748165153984</v>
      </c>
      <c r="K85" s="13">
        <v>4.7072053980239374</v>
      </c>
      <c r="L85" s="13">
        <v>4.869354675992871</v>
      </c>
      <c r="M85" s="13">
        <v>4.479197467993998</v>
      </c>
      <c r="N85" s="13">
        <v>3.180574925134326</v>
      </c>
      <c r="O85" s="13">
        <v>4.328611658984717</v>
      </c>
      <c r="P85" s="13">
        <v>4.198626540508818</v>
      </c>
      <c r="R85" s="22"/>
      <c r="S85" s="22"/>
      <c r="T85" s="22"/>
      <c r="U85" s="22"/>
      <c r="V85" s="22"/>
      <c r="X85" s="22"/>
      <c r="Y85" s="22"/>
      <c r="Z85" s="22"/>
    </row>
    <row r="86" spans="7:26" ht="13">
      <c r="G86" s="4" t="s">
        <v>6</v>
      </c>
      <c r="H86" s="13">
        <v>5.44859646981484</v>
      </c>
      <c r="I86" s="13">
        <v>5.035295634948624</v>
      </c>
      <c r="J86" s="13">
        <v>5.474222457733649</v>
      </c>
      <c r="K86" s="13">
        <v>5.033113559325158</v>
      </c>
      <c r="L86" s="13">
        <v>5.4125071212586</v>
      </c>
      <c r="M86" s="13">
        <v>5.563722624079117</v>
      </c>
      <c r="N86" s="13">
        <v>4.448735835297213</v>
      </c>
      <c r="O86" s="13">
        <v>4.703636845547377</v>
      </c>
      <c r="P86" s="13">
        <v>4.1679197225887625</v>
      </c>
      <c r="R86" s="22"/>
      <c r="S86" s="22"/>
      <c r="T86" s="22"/>
      <c r="U86" s="22"/>
      <c r="V86" s="22"/>
      <c r="X86" s="22"/>
      <c r="Y86" s="22"/>
      <c r="Z86" s="22"/>
    </row>
    <row r="87" spans="7:26" ht="13">
      <c r="G87" s="4" t="s">
        <v>7</v>
      </c>
      <c r="H87" s="13">
        <v>3.772398092514014</v>
      </c>
      <c r="I87" s="13">
        <v>4.731582732029061</v>
      </c>
      <c r="J87" s="13">
        <v>5.139388072749945</v>
      </c>
      <c r="K87" s="13">
        <v>4.707579013147354</v>
      </c>
      <c r="L87" s="13">
        <v>5.050033620059534</v>
      </c>
      <c r="M87" s="13">
        <v>4.9349336435691855</v>
      </c>
      <c r="N87" s="13">
        <v>4.261212397481776</v>
      </c>
      <c r="O87" s="13">
        <v>4.950497461355183</v>
      </c>
      <c r="P87" s="13">
        <v>4.0726533251028245</v>
      </c>
      <c r="R87" s="22"/>
      <c r="S87" s="22"/>
      <c r="T87" s="22"/>
      <c r="U87" s="22"/>
      <c r="V87" s="22"/>
      <c r="X87" s="22"/>
      <c r="Y87" s="22"/>
      <c r="Z87" s="22"/>
    </row>
    <row r="88" spans="7:26" ht="13">
      <c r="G88" s="4" t="s">
        <v>28</v>
      </c>
      <c r="H88" s="13">
        <v>2.745352898788204</v>
      </c>
      <c r="I88" s="13">
        <v>3.192964457704605</v>
      </c>
      <c r="J88" s="13">
        <v>4.695584577114428</v>
      </c>
      <c r="K88" s="13">
        <v>4.617746666494377</v>
      </c>
      <c r="L88" s="13">
        <v>4.27661141352283</v>
      </c>
      <c r="M88" s="13">
        <v>4.313555013324195</v>
      </c>
      <c r="N88" s="13">
        <v>3.526724134613273</v>
      </c>
      <c r="O88" s="13">
        <v>4.319387568051455</v>
      </c>
      <c r="P88" s="13">
        <f>(143925+7407+14285)*100/(3844165+517103+213731)</f>
        <v>3.6200445071135534</v>
      </c>
      <c r="R88" s="22"/>
      <c r="S88" s="22"/>
      <c r="T88" s="22"/>
      <c r="U88" s="22"/>
      <c r="V88" s="22"/>
      <c r="X88" s="22"/>
      <c r="Y88" s="22"/>
      <c r="Z88" s="22"/>
    </row>
    <row r="89" spans="7:26" ht="13">
      <c r="G89" s="4" t="s">
        <v>3</v>
      </c>
      <c r="H89" s="13">
        <v>3.967289454256346</v>
      </c>
      <c r="I89" s="13">
        <v>4.60239945761646</v>
      </c>
      <c r="J89" s="13">
        <v>4.836578356450465</v>
      </c>
      <c r="K89" s="13">
        <v>5.079282104896323</v>
      </c>
      <c r="L89" s="13">
        <v>5.015952373121073</v>
      </c>
      <c r="M89" s="13">
        <v>4.1879266292948945</v>
      </c>
      <c r="N89" s="13">
        <v>2.812666233228914</v>
      </c>
      <c r="O89" s="13">
        <v>3.5386987181317267</v>
      </c>
      <c r="P89" s="13">
        <v>3.2609072562468358</v>
      </c>
      <c r="R89" s="22"/>
      <c r="S89" s="22"/>
      <c r="T89" s="22"/>
      <c r="U89" s="22"/>
      <c r="V89" s="22"/>
      <c r="X89" s="22"/>
      <c r="Y89" s="22"/>
      <c r="Z89" s="22"/>
    </row>
    <row r="90" spans="7:26" ht="13">
      <c r="G90" s="4" t="s">
        <v>9</v>
      </c>
      <c r="H90" s="13">
        <v>5.360021667075074</v>
      </c>
      <c r="I90" s="13">
        <v>3.7588771902021576</v>
      </c>
      <c r="J90" s="13">
        <v>3.825535904814252</v>
      </c>
      <c r="K90" s="13">
        <v>3.62890113186102</v>
      </c>
      <c r="L90" s="13">
        <v>4.003067673619238</v>
      </c>
      <c r="M90" s="13">
        <v>3.858221394254339</v>
      </c>
      <c r="N90" s="13">
        <v>2.436135240858754</v>
      </c>
      <c r="O90" s="13">
        <v>3.2116893485973623</v>
      </c>
      <c r="P90" s="13">
        <v>3.114992981175304</v>
      </c>
      <c r="R90" s="22"/>
      <c r="S90" s="22"/>
      <c r="T90" s="22"/>
      <c r="U90" s="22"/>
      <c r="V90" s="22"/>
      <c r="X90" s="22"/>
      <c r="Y90" s="22"/>
      <c r="Z90" s="22"/>
    </row>
    <row r="91" spans="7:26" ht="13">
      <c r="G91" s="4" t="s">
        <v>56</v>
      </c>
      <c r="H91" s="13">
        <v>2.955698454866715</v>
      </c>
      <c r="I91" s="13">
        <v>4.048000613426369</v>
      </c>
      <c r="J91" s="13">
        <v>4.37478521793592</v>
      </c>
      <c r="K91" s="13">
        <v>4.083633741888969</v>
      </c>
      <c r="L91" s="13">
        <v>4.073895826473146</v>
      </c>
      <c r="M91" s="13">
        <v>4.0088271302982825</v>
      </c>
      <c r="N91" s="13">
        <v>3.202664126800192</v>
      </c>
      <c r="O91" s="13">
        <v>3.720493981553853</v>
      </c>
      <c r="P91" s="13">
        <v>3.041592445683484</v>
      </c>
      <c r="R91" s="22"/>
      <c r="S91" s="22"/>
      <c r="T91" s="22"/>
      <c r="U91" s="22"/>
      <c r="V91" s="22"/>
      <c r="X91" s="22"/>
      <c r="Y91" s="22"/>
      <c r="Z91" s="22"/>
    </row>
    <row r="92" spans="7:26" ht="13">
      <c r="G92" s="4" t="s">
        <v>27</v>
      </c>
      <c r="H92" s="13">
        <v>2.0898180423918027</v>
      </c>
      <c r="I92" s="13">
        <v>3.3594040230425932</v>
      </c>
      <c r="J92" s="13">
        <v>2.8856737186849646</v>
      </c>
      <c r="K92" s="13">
        <v>2.9761437398561448</v>
      </c>
      <c r="L92" s="13">
        <v>3.247108920709067</v>
      </c>
      <c r="M92" s="13">
        <v>3.335850670691772</v>
      </c>
      <c r="N92" s="13">
        <v>2.5240885655186207</v>
      </c>
      <c r="O92" s="13">
        <v>2.8177055363210477</v>
      </c>
      <c r="P92" s="13">
        <v>2.5940720320309056</v>
      </c>
      <c r="R92" s="22"/>
      <c r="S92" s="22"/>
      <c r="T92" s="22"/>
      <c r="U92" s="22"/>
      <c r="V92" s="22"/>
      <c r="X92" s="22"/>
      <c r="Y92" s="22"/>
      <c r="Z92" s="22"/>
    </row>
    <row r="93" spans="7:26" ht="13">
      <c r="G93" s="4" t="s">
        <v>5</v>
      </c>
      <c r="H93" s="13">
        <v>3.7084343609282993</v>
      </c>
      <c r="I93" s="13">
        <v>7.624689601390039</v>
      </c>
      <c r="J93" s="13">
        <v>9.51791310564041</v>
      </c>
      <c r="K93" s="13">
        <v>9.842435349700699</v>
      </c>
      <c r="L93" s="13">
        <v>10.294150073868272</v>
      </c>
      <c r="M93" s="13">
        <v>10.49728892331526</v>
      </c>
      <c r="N93" s="13">
        <v>8.172587326854059</v>
      </c>
      <c r="O93" s="13">
        <v>2.674121794092622</v>
      </c>
      <c r="P93" s="13">
        <v>2.4096762514359273</v>
      </c>
      <c r="R93" s="22"/>
      <c r="S93" s="22"/>
      <c r="T93" s="22"/>
      <c r="U93" s="22"/>
      <c r="V93" s="22"/>
      <c r="X93" s="22"/>
      <c r="Y93" s="22"/>
      <c r="Z93" s="22"/>
    </row>
    <row r="94" spans="7:26" ht="13">
      <c r="G94" s="4" t="s">
        <v>10</v>
      </c>
      <c r="H94" s="13">
        <v>2.92538336793692</v>
      </c>
      <c r="I94" s="13">
        <v>2.5442754242804915</v>
      </c>
      <c r="J94" s="13">
        <v>2.93483712670634</v>
      </c>
      <c r="K94" s="13">
        <v>3.1855711788798162</v>
      </c>
      <c r="L94" s="13">
        <v>3.1367198674643118</v>
      </c>
      <c r="M94" s="13">
        <v>2.934202681772051</v>
      </c>
      <c r="N94" s="13">
        <v>2.4513701171357396</v>
      </c>
      <c r="O94" s="13">
        <v>2.4189433347179956</v>
      </c>
      <c r="P94" s="13">
        <v>2.11733064949234</v>
      </c>
      <c r="R94" s="22"/>
      <c r="S94" s="22"/>
      <c r="T94" s="22"/>
      <c r="U94" s="22"/>
      <c r="V94" s="22"/>
      <c r="X94" s="22"/>
      <c r="Y94" s="22"/>
      <c r="Z94" s="22"/>
    </row>
    <row r="95" spans="7:26" ht="13">
      <c r="G95" s="11" t="s">
        <v>34</v>
      </c>
      <c r="H95" s="13">
        <v>1.5125377021447095</v>
      </c>
      <c r="I95" s="13">
        <v>2.85093346958885</v>
      </c>
      <c r="J95" s="13">
        <v>3.1748054520730666</v>
      </c>
      <c r="K95" s="13">
        <v>3.072669578057746</v>
      </c>
      <c r="L95" s="13">
        <v>3.148691665206472</v>
      </c>
      <c r="M95" s="13">
        <v>2.817100614985014</v>
      </c>
      <c r="N95" s="13">
        <v>2.215949764926167</v>
      </c>
      <c r="O95" s="13">
        <v>2.3317112442717147</v>
      </c>
      <c r="P95" s="13">
        <v>1.942564980693303</v>
      </c>
      <c r="R95" s="22"/>
      <c r="S95" s="22"/>
      <c r="T95" s="22"/>
      <c r="U95" s="22"/>
      <c r="V95" s="22"/>
      <c r="X95" s="22"/>
      <c r="Y95" s="22"/>
      <c r="Z95" s="22"/>
    </row>
    <row r="96" spans="7:26" ht="13">
      <c r="G96" s="4" t="s">
        <v>1</v>
      </c>
      <c r="H96" s="13">
        <v>8.294712406921525</v>
      </c>
      <c r="I96" s="13">
        <v>3.0749947681208667</v>
      </c>
      <c r="J96" s="13">
        <v>2.755883968770588</v>
      </c>
      <c r="K96" s="13">
        <v>2.951940592609044</v>
      </c>
      <c r="L96" s="13">
        <v>3.3116752751364276</v>
      </c>
      <c r="M96" s="13">
        <v>2.2831796995688234</v>
      </c>
      <c r="N96" s="13">
        <v>1.4088780337688627</v>
      </c>
      <c r="O96" s="13">
        <v>2.1020077903837175</v>
      </c>
      <c r="P96" s="13">
        <v>1.7824011738487866</v>
      </c>
      <c r="R96" s="22"/>
      <c r="S96" s="22"/>
      <c r="T96" s="22"/>
      <c r="U96" s="22"/>
      <c r="V96" s="22"/>
      <c r="X96" s="22"/>
      <c r="Y96" s="22"/>
      <c r="Z96" s="22"/>
    </row>
    <row r="97" spans="7:26" ht="13">
      <c r="G97" s="4" t="s">
        <v>40</v>
      </c>
      <c r="H97" s="13">
        <v>2.2128834301891107</v>
      </c>
      <c r="I97" s="13">
        <v>1.4339920644092607</v>
      </c>
      <c r="J97" s="13">
        <v>1.725240818783865</v>
      </c>
      <c r="K97" s="13">
        <v>1.9425495382616362</v>
      </c>
      <c r="L97" s="13">
        <v>1.590389222096144</v>
      </c>
      <c r="M97" s="13">
        <v>1.7582762955720075</v>
      </c>
      <c r="N97" s="13">
        <v>1.3114895080839355</v>
      </c>
      <c r="O97" s="13">
        <v>1.715482590777267</v>
      </c>
      <c r="P97" s="13">
        <v>1.7420075271930187</v>
      </c>
      <c r="R97" s="22"/>
      <c r="S97" s="22"/>
      <c r="T97" s="22"/>
      <c r="U97" s="22"/>
      <c r="V97" s="22"/>
      <c r="X97" s="22"/>
      <c r="Y97" s="22"/>
      <c r="Z97" s="22"/>
    </row>
    <row r="98" spans="7:26" ht="13">
      <c r="G98" s="4" t="s">
        <v>41</v>
      </c>
      <c r="H98" s="13">
        <v>3.8875878220140514</v>
      </c>
      <c r="I98" s="13">
        <v>1.3635025254241127</v>
      </c>
      <c r="J98" s="13">
        <v>1.6564471304424546</v>
      </c>
      <c r="K98" s="13">
        <v>1.5957900119311401</v>
      </c>
      <c r="L98" s="13">
        <v>1.8689673545504846</v>
      </c>
      <c r="M98" s="13">
        <v>1.550096757632005</v>
      </c>
      <c r="N98" s="13">
        <v>1.2220428867881024</v>
      </c>
      <c r="O98" s="13">
        <v>1.1690698599768838</v>
      </c>
      <c r="P98" s="13">
        <v>1.4386213057395965</v>
      </c>
      <c r="R98" s="22"/>
      <c r="S98" s="22"/>
      <c r="T98" s="22"/>
      <c r="U98" s="22"/>
      <c r="V98" s="22"/>
      <c r="X98" s="22"/>
      <c r="Y98" s="22"/>
      <c r="Z98" s="22"/>
    </row>
    <row r="99" spans="7:26" ht="13">
      <c r="G99" s="4" t="s">
        <v>201</v>
      </c>
      <c r="H99" s="13">
        <v>7.844417342893576</v>
      </c>
      <c r="I99" s="13">
        <v>4.919629349470499</v>
      </c>
      <c r="J99" s="13">
        <v>5.838662741515243</v>
      </c>
      <c r="K99" s="13">
        <v>4.115654713815176</v>
      </c>
      <c r="L99" s="13">
        <v>4.196398355426588</v>
      </c>
      <c r="M99" s="13">
        <v>3.339321927782995</v>
      </c>
      <c r="N99" s="13">
        <v>1.7411419322284911</v>
      </c>
      <c r="O99" s="13">
        <v>2.6095592799503415</v>
      </c>
      <c r="P99" s="13">
        <v>0.45289324031189543</v>
      </c>
      <c r="R99" s="22"/>
      <c r="S99" s="22"/>
      <c r="T99" s="22"/>
      <c r="U99" s="22"/>
      <c r="V99" s="22"/>
      <c r="X99" s="22"/>
      <c r="Y99" s="22"/>
      <c r="Z99" s="22"/>
    </row>
    <row r="100" spans="7:26" ht="13">
      <c r="G100" s="4"/>
      <c r="H100" s="13"/>
      <c r="I100" s="13"/>
      <c r="J100" s="13"/>
      <c r="K100" s="13"/>
      <c r="L100" s="13"/>
      <c r="M100" s="13"/>
      <c r="N100" s="13"/>
      <c r="O100" s="13"/>
      <c r="P100" s="13"/>
      <c r="R100" s="22"/>
      <c r="S100" s="22"/>
      <c r="T100" s="22"/>
      <c r="U100" s="22"/>
      <c r="V100" s="22"/>
      <c r="X100" s="22"/>
      <c r="Y100" s="22"/>
      <c r="Z100" s="22"/>
    </row>
    <row r="101" spans="7:26" ht="13">
      <c r="G101" s="4" t="s">
        <v>42</v>
      </c>
      <c r="H101" s="13"/>
      <c r="I101" s="13">
        <v>9.565764631843928</v>
      </c>
      <c r="J101" s="13">
        <v>8.52099817407182</v>
      </c>
      <c r="K101" s="13">
        <v>8.138839018551765</v>
      </c>
      <c r="L101" s="13">
        <v>8.619685497961562</v>
      </c>
      <c r="M101" s="13">
        <v>7.716312056737588</v>
      </c>
      <c r="N101" s="13">
        <v>6.469760900140647</v>
      </c>
      <c r="O101" s="13">
        <v>6.556473829201102</v>
      </c>
      <c r="P101" s="13">
        <v>6.244864420706656</v>
      </c>
      <c r="R101" s="22"/>
      <c r="S101" s="22"/>
      <c r="T101" s="22"/>
      <c r="U101" s="22"/>
      <c r="V101" s="22"/>
      <c r="X101" s="22"/>
      <c r="Y101" s="22"/>
      <c r="Z101" s="22"/>
    </row>
    <row r="102" spans="7:26" ht="13">
      <c r="G102" s="4" t="s">
        <v>38</v>
      </c>
      <c r="H102" s="13">
        <v>9.533020171318043</v>
      </c>
      <c r="I102" s="13">
        <v>8.966000843500222</v>
      </c>
      <c r="J102" s="13">
        <v>8.575916127091523</v>
      </c>
      <c r="K102" s="13">
        <v>9.003339727875803</v>
      </c>
      <c r="L102" s="13">
        <v>8.754034439655976</v>
      </c>
      <c r="M102" s="13">
        <v>9.076327998275842</v>
      </c>
      <c r="N102" s="13">
        <v>7.1674045636087795</v>
      </c>
      <c r="O102" s="13">
        <v>7.198965851556609</v>
      </c>
      <c r="P102" s="13">
        <v>6.083907557902437</v>
      </c>
      <c r="R102" s="22"/>
      <c r="S102" s="22"/>
      <c r="T102" s="22"/>
      <c r="U102" s="22"/>
      <c r="V102" s="22"/>
      <c r="X102" s="22"/>
      <c r="Y102" s="22"/>
      <c r="Z102" s="22"/>
    </row>
    <row r="103" spans="7:26" ht="13">
      <c r="G103" s="4" t="s">
        <v>37</v>
      </c>
      <c r="H103" s="13">
        <v>6.904897074436711</v>
      </c>
      <c r="I103" s="13" t="s">
        <v>13</v>
      </c>
      <c r="J103" s="13">
        <v>7.013258460343621</v>
      </c>
      <c r="K103" s="13">
        <v>7.0927408553298</v>
      </c>
      <c r="L103" s="13">
        <v>7.15341423398959</v>
      </c>
      <c r="M103" s="13">
        <v>7.241569160068291</v>
      </c>
      <c r="N103" s="13">
        <v>6.2703706802206565</v>
      </c>
      <c r="O103" s="13">
        <v>6.472059657203223</v>
      </c>
      <c r="P103" s="13">
        <v>5.718184678704419</v>
      </c>
      <c r="R103" s="22"/>
      <c r="S103" s="22"/>
      <c r="T103" s="22"/>
      <c r="U103" s="22"/>
      <c r="V103" s="22"/>
      <c r="X103" s="22"/>
      <c r="Y103" s="22"/>
      <c r="Z103" s="22"/>
    </row>
    <row r="104" spans="7:26" ht="13">
      <c r="G104" s="4"/>
      <c r="H104" s="13"/>
      <c r="I104" s="13"/>
      <c r="J104" s="13"/>
      <c r="K104" s="13"/>
      <c r="L104" s="13"/>
      <c r="M104" s="13"/>
      <c r="N104" s="13"/>
      <c r="O104" s="13"/>
      <c r="P104" s="13"/>
      <c r="R104" s="22"/>
      <c r="S104" s="22"/>
      <c r="T104" s="22"/>
      <c r="U104" s="22"/>
      <c r="V104" s="22"/>
      <c r="X104" s="22"/>
      <c r="Y104" s="22"/>
      <c r="Z104" s="22"/>
    </row>
    <row r="105" spans="7:26" ht="13">
      <c r="G105" s="4" t="s">
        <v>202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>
        <v>13.05171946926618</v>
      </c>
      <c r="N105" s="13">
        <v>6.497130102040815</v>
      </c>
      <c r="O105" s="13">
        <v>7.106413994169096</v>
      </c>
      <c r="P105" s="13">
        <v>9.850162866449512</v>
      </c>
      <c r="R105" s="22"/>
      <c r="S105" s="22"/>
      <c r="T105" s="22"/>
      <c r="U105" s="22"/>
      <c r="V105" s="22"/>
      <c r="X105" s="22"/>
      <c r="Y105" s="22"/>
      <c r="Z105" s="22"/>
    </row>
    <row r="106" spans="7:18" ht="13">
      <c r="G106" s="4" t="s">
        <v>138</v>
      </c>
      <c r="H106" s="13">
        <v>8.062156626897696</v>
      </c>
      <c r="I106" s="13">
        <v>10.420106402494955</v>
      </c>
      <c r="J106" s="13">
        <v>12.978723404255318</v>
      </c>
      <c r="K106" s="13">
        <v>11.613014884042922</v>
      </c>
      <c r="L106" s="13">
        <v>9.068234455727776</v>
      </c>
      <c r="M106" s="13">
        <v>9.714795008912656</v>
      </c>
      <c r="N106" s="13">
        <v>9.597030752916226</v>
      </c>
      <c r="O106" s="13">
        <v>10.671678378820069</v>
      </c>
      <c r="P106" s="13">
        <v>9.79209649262022</v>
      </c>
      <c r="R106" s="22"/>
    </row>
    <row r="107" spans="7:22" ht="13">
      <c r="G107" s="4" t="s">
        <v>92</v>
      </c>
      <c r="H107" s="13">
        <v>5.137497505487927</v>
      </c>
      <c r="I107" s="13">
        <v>6.126734091729813</v>
      </c>
      <c r="J107" s="13">
        <v>5.210907590461352</v>
      </c>
      <c r="K107" s="13">
        <v>5.279912740444104</v>
      </c>
      <c r="L107" s="13">
        <v>3.2409180355232574</v>
      </c>
      <c r="M107" s="13">
        <v>1.8755116990563192</v>
      </c>
      <c r="N107" s="13">
        <v>3.2881363420572103</v>
      </c>
      <c r="O107" s="13">
        <v>4.000053583839113</v>
      </c>
      <c r="P107" s="13">
        <v>3.9186968120573864</v>
      </c>
      <c r="R107" s="22"/>
      <c r="S107" s="22"/>
      <c r="T107" s="22"/>
      <c r="U107" s="22"/>
      <c r="V107" s="22"/>
    </row>
    <row r="108" spans="7:22" ht="13">
      <c r="G108" s="4" t="s">
        <v>78</v>
      </c>
      <c r="H108" s="16" t="s">
        <v>13</v>
      </c>
      <c r="I108" s="16">
        <v>2.223603741668715</v>
      </c>
      <c r="J108" s="16">
        <v>2.705141017099711</v>
      </c>
      <c r="K108" s="16">
        <v>3.1265853202680693</v>
      </c>
      <c r="L108" s="16">
        <v>1.5853201847459741</v>
      </c>
      <c r="M108" s="16">
        <v>3.025854131933212</v>
      </c>
      <c r="N108" s="16">
        <v>1.7423941141379997</v>
      </c>
      <c r="O108" s="16">
        <v>2.190466134009128</v>
      </c>
      <c r="P108" s="16">
        <v>2.1007730661909334</v>
      </c>
      <c r="R108" s="22"/>
      <c r="S108" s="22"/>
      <c r="T108" s="22"/>
      <c r="U108" s="22"/>
      <c r="V108" s="22"/>
    </row>
    <row r="109" spans="7:22" ht="13">
      <c r="G109" s="4" t="s">
        <v>257</v>
      </c>
      <c r="H109" s="13" t="s">
        <v>13</v>
      </c>
      <c r="I109" s="13" t="s">
        <v>13</v>
      </c>
      <c r="J109" s="13" t="s">
        <v>13</v>
      </c>
      <c r="K109" s="13">
        <v>0.18913428534259324</v>
      </c>
      <c r="L109" s="13">
        <v>0.15787500246679692</v>
      </c>
      <c r="M109" s="13">
        <v>0.1753243020559888</v>
      </c>
      <c r="N109" s="13">
        <v>0.1753243020559888</v>
      </c>
      <c r="O109" s="13">
        <v>0.26304171878448973</v>
      </c>
      <c r="P109" s="13">
        <v>0.26355794226911694</v>
      </c>
      <c r="R109" s="22"/>
      <c r="S109" s="22"/>
      <c r="T109" s="22"/>
      <c r="U109" s="22"/>
      <c r="V109" s="22"/>
    </row>
    <row r="110" spans="8:16" ht="15"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7:16" ht="15">
      <c r="G111" s="3" t="s">
        <v>103</v>
      </c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7:16" ht="15">
      <c r="G112" s="1" t="s">
        <v>104</v>
      </c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7:16" ht="15">
      <c r="G113" s="1" t="s">
        <v>140</v>
      </c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7:16" ht="15">
      <c r="G114" s="1" t="s">
        <v>198</v>
      </c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7:16" ht="15">
      <c r="G115" s="1" t="s">
        <v>197</v>
      </c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7:16" ht="14.5">
      <c r="G116" s="1" t="s">
        <v>196</v>
      </c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7:16" ht="15">
      <c r="G117" s="1" t="s">
        <v>73</v>
      </c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7:16" ht="15">
      <c r="G118" s="1" t="s">
        <v>72</v>
      </c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7:16" ht="13">
      <c r="G119" s="32" t="s">
        <v>148</v>
      </c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8:16" ht="15"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8:16" ht="15"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8:16" ht="15"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8:16" ht="15"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8:16" ht="15"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8:16" ht="15"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8:16" ht="15"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8:16" ht="15"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8:16" ht="15"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8:16" ht="15"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8:16" ht="15"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8:16" ht="15"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8:16" ht="15"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8:16" ht="15"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8:16" ht="15"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8:16" ht="15"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8:16" ht="15"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8:16" ht="15"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8:16" ht="15"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8:16" ht="15"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8:16" ht="15"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8:16" ht="15"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8:16" ht="15"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8:16" ht="15"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8:16" ht="15"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8:16" ht="15"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8:16" ht="15"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8:16" ht="15"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8:16" ht="15"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8:16" ht="15"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8:16" ht="15"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8:16" ht="15"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8:16" ht="15"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8:16" ht="15"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8:16" ht="15"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8:16" ht="15"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8:16" ht="15"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8:16" ht="15"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8:16" ht="15">
      <c r="H158" s="21"/>
      <c r="I158" s="21"/>
      <c r="J158" s="21"/>
      <c r="K158" s="21"/>
      <c r="L158" s="21"/>
      <c r="M158" s="21"/>
      <c r="N158" s="21"/>
      <c r="O158" s="21"/>
      <c r="P158" s="21"/>
    </row>
    <row r="163" spans="3:13" ht="15">
      <c r="C163" s="3">
        <v>2012</v>
      </c>
      <c r="D163" s="3">
        <v>2013</v>
      </c>
      <c r="E163" s="3">
        <v>2014</v>
      </c>
      <c r="F163" s="3">
        <v>2015</v>
      </c>
      <c r="G163" s="3">
        <v>2016</v>
      </c>
      <c r="H163" s="3">
        <v>2017</v>
      </c>
      <c r="I163" s="3">
        <v>2018</v>
      </c>
      <c r="J163" s="3">
        <v>2019</v>
      </c>
      <c r="K163" s="3">
        <v>2020</v>
      </c>
      <c r="L163" s="3">
        <v>2021</v>
      </c>
      <c r="M163" s="3">
        <v>2022</v>
      </c>
    </row>
    <row r="164" spans="2:13" ht="15">
      <c r="B164" s="3" t="s">
        <v>26</v>
      </c>
      <c r="C164" s="3" t="s">
        <v>13</v>
      </c>
      <c r="D164" s="3" t="s">
        <v>13</v>
      </c>
      <c r="E164" s="3" t="s">
        <v>13</v>
      </c>
      <c r="F164" s="3" t="s">
        <v>13</v>
      </c>
      <c r="G164" s="3" t="s">
        <v>13</v>
      </c>
      <c r="H164" s="3" t="s">
        <v>13</v>
      </c>
      <c r="I164" s="3" t="s">
        <v>13</v>
      </c>
      <c r="J164" s="3" t="s">
        <v>13</v>
      </c>
      <c r="K164" s="3" t="s">
        <v>13</v>
      </c>
      <c r="L164" s="3" t="s">
        <v>13</v>
      </c>
      <c r="M164" s="3" t="s">
        <v>13</v>
      </c>
    </row>
    <row r="165" spans="2:13" ht="15">
      <c r="B165" s="3" t="s">
        <v>28</v>
      </c>
      <c r="C165" s="3">
        <v>2.745352898788204</v>
      </c>
      <c r="D165" s="3">
        <v>2.4144306093396373</v>
      </c>
      <c r="E165" s="3">
        <v>2.893031612293626</v>
      </c>
      <c r="F165" s="3">
        <v>3.192964457704605</v>
      </c>
      <c r="G165" s="3">
        <v>4.695584577114428</v>
      </c>
      <c r="H165" s="3">
        <v>4.617746666494377</v>
      </c>
      <c r="I165" s="3">
        <v>4.27661141352283</v>
      </c>
      <c r="J165" s="3">
        <v>4.313555013324195</v>
      </c>
      <c r="K165" s="3">
        <v>3.526724134613273</v>
      </c>
      <c r="L165" s="3">
        <v>4.319387568051455</v>
      </c>
      <c r="M165" s="3" t="s">
        <v>13</v>
      </c>
    </row>
    <row r="166" spans="2:13" ht="15">
      <c r="B166" s="3" t="s">
        <v>96</v>
      </c>
      <c r="C166" s="3">
        <v>7.889062648090228</v>
      </c>
      <c r="D166" s="3">
        <v>8.082589748910562</v>
      </c>
      <c r="E166" s="3">
        <v>9.919307222987602</v>
      </c>
      <c r="F166" s="3">
        <v>11.972452763552887</v>
      </c>
      <c r="G166" s="3">
        <v>12.811031507588014</v>
      </c>
      <c r="H166" s="3">
        <v>11.751570132588975</v>
      </c>
      <c r="I166" s="3">
        <v>11.76544450025113</v>
      </c>
      <c r="J166" s="3">
        <v>9.253178914691661</v>
      </c>
      <c r="K166" s="3">
        <v>5.260965303814795</v>
      </c>
      <c r="L166" s="3">
        <v>7.577158709975726</v>
      </c>
      <c r="M166" s="3">
        <v>9.91207034372502</v>
      </c>
    </row>
    <row r="167" spans="2:13" ht="15">
      <c r="B167" s="3" t="s">
        <v>31</v>
      </c>
      <c r="C167" s="3" t="s">
        <v>13</v>
      </c>
      <c r="D167" s="3">
        <v>10.863273055577684</v>
      </c>
      <c r="E167" s="3">
        <v>11.370141020971015</v>
      </c>
      <c r="F167" s="3">
        <v>12.338909384949714</v>
      </c>
      <c r="G167" s="3">
        <v>13.583688906128783</v>
      </c>
      <c r="H167" s="3">
        <v>13.663242353268556</v>
      </c>
      <c r="I167" s="3">
        <v>13.11406142282118</v>
      </c>
      <c r="J167" s="3">
        <v>13.20148173379886</v>
      </c>
      <c r="K167" s="3">
        <v>11.148885317509375</v>
      </c>
      <c r="L167" s="3">
        <v>11.140215104972814</v>
      </c>
      <c r="M167" s="3">
        <v>9.796263875795995</v>
      </c>
    </row>
    <row r="168" spans="2:13" ht="15">
      <c r="B168" s="3" t="s">
        <v>24</v>
      </c>
      <c r="C168" s="3" t="s">
        <v>13</v>
      </c>
      <c r="D168" s="3">
        <v>6.839523349610409</v>
      </c>
      <c r="E168" s="3">
        <v>7.738095238095238</v>
      </c>
      <c r="F168" s="3">
        <v>9.053158996533856</v>
      </c>
      <c r="G168" s="3">
        <v>10.031961400287495</v>
      </c>
      <c r="H168" s="3">
        <v>9.811640433941713</v>
      </c>
      <c r="I168" s="3">
        <v>9.467652803361998</v>
      </c>
      <c r="J168" s="3">
        <v>9.463232058446383</v>
      </c>
      <c r="K168" s="3">
        <v>8.626023310090131</v>
      </c>
      <c r="L168" s="3">
        <v>9.036597162381756</v>
      </c>
      <c r="M168" s="3">
        <v>8.390911295240848</v>
      </c>
    </row>
    <row r="169" spans="2:13" ht="15">
      <c r="B169" s="3" t="s">
        <v>30</v>
      </c>
      <c r="C169" s="3" t="s">
        <v>13</v>
      </c>
      <c r="D169" s="3">
        <v>3.9520966456466113</v>
      </c>
      <c r="E169" s="3">
        <v>4.249641348729422</v>
      </c>
      <c r="F169" s="3">
        <v>5.556095475042762</v>
      </c>
      <c r="G169" s="3">
        <v>7.598998135215182</v>
      </c>
      <c r="H169" s="3">
        <v>7.988644526956266</v>
      </c>
      <c r="I169" s="3">
        <v>8.782036490368165</v>
      </c>
      <c r="J169" s="3">
        <v>7.513174551770836</v>
      </c>
      <c r="K169" s="3">
        <v>4.7713773199042375</v>
      </c>
      <c r="L169" s="3">
        <v>7.146121702794463</v>
      </c>
      <c r="M169" s="3">
        <v>8.29358252528412</v>
      </c>
    </row>
    <row r="170" spans="2:13" ht="15">
      <c r="B170" s="3" t="s">
        <v>2</v>
      </c>
      <c r="C170" s="3">
        <v>10.55821041241459</v>
      </c>
      <c r="D170" s="3">
        <v>10.086734960251656</v>
      </c>
      <c r="E170" s="3">
        <v>10.34475957009906</v>
      </c>
      <c r="F170" s="3">
        <v>10.39653810429091</v>
      </c>
      <c r="G170" s="3">
        <v>10.685339936997142</v>
      </c>
      <c r="H170" s="3">
        <v>10.61983734981206</v>
      </c>
      <c r="I170" s="3">
        <v>10.708523978432883</v>
      </c>
      <c r="J170" s="3">
        <v>10.940465365744481</v>
      </c>
      <c r="K170" s="3">
        <v>8.849921503169508</v>
      </c>
      <c r="L170" s="3">
        <v>8.561851664598287</v>
      </c>
      <c r="M170" s="3">
        <v>7.403272357382063</v>
      </c>
    </row>
    <row r="171" spans="2:13" ht="15">
      <c r="B171" s="3" t="s">
        <v>61</v>
      </c>
      <c r="C171" s="3" t="s">
        <v>13</v>
      </c>
      <c r="D171" s="3" t="s">
        <v>13</v>
      </c>
      <c r="E171" s="3" t="s">
        <v>13</v>
      </c>
      <c r="F171" s="3">
        <v>8.540287161851404</v>
      </c>
      <c r="G171" s="3">
        <v>9.261533751286077</v>
      </c>
      <c r="H171" s="3">
        <v>9.934227082427764</v>
      </c>
      <c r="I171" s="3">
        <v>9.874261579166879</v>
      </c>
      <c r="J171" s="3">
        <v>9.928148193152495</v>
      </c>
      <c r="K171" s="3">
        <v>8.214747736093143</v>
      </c>
      <c r="L171" s="3">
        <v>8.003790764210867</v>
      </c>
      <c r="M171" s="3">
        <v>6.399981058139673</v>
      </c>
    </row>
    <row r="172" spans="2:13" ht="15">
      <c r="B172" s="3" t="s">
        <v>32</v>
      </c>
      <c r="C172" s="3" t="s">
        <v>13</v>
      </c>
      <c r="D172" s="3">
        <v>6.621723618122147</v>
      </c>
      <c r="E172" s="3">
        <v>6.480840349773355</v>
      </c>
      <c r="F172" s="3">
        <v>7.3404259737670605</v>
      </c>
      <c r="G172" s="3">
        <v>8.562444072577994</v>
      </c>
      <c r="H172" s="3">
        <v>8.501611916254644</v>
      </c>
      <c r="I172" s="3">
        <v>8.992615806295493</v>
      </c>
      <c r="J172" s="3">
        <v>8.315205613983318</v>
      </c>
      <c r="K172" s="3">
        <v>6.323337561152383</v>
      </c>
      <c r="L172" s="3">
        <v>7.074980211878239</v>
      </c>
      <c r="M172" s="3">
        <v>6.287252569893807</v>
      </c>
    </row>
    <row r="173" spans="2:13" ht="15">
      <c r="B173" s="3" t="s">
        <v>25</v>
      </c>
      <c r="C173" s="3">
        <v>3.612147043153969</v>
      </c>
      <c r="D173" s="3">
        <v>3.802597892157632</v>
      </c>
      <c r="E173" s="3">
        <v>5.183087957719894</v>
      </c>
      <c r="F173" s="3">
        <v>7.854296753456645</v>
      </c>
      <c r="G173" s="3">
        <v>8.846004592522998</v>
      </c>
      <c r="H173" s="3">
        <v>7.175389509701266</v>
      </c>
      <c r="I173" s="3">
        <v>7.317758927542181</v>
      </c>
      <c r="J173" s="3">
        <v>7.534701793379965</v>
      </c>
      <c r="K173" s="3">
        <v>5.8064635545848295</v>
      </c>
      <c r="L173" s="3">
        <v>7.4611103182531755</v>
      </c>
      <c r="M173" s="3">
        <v>6.250288865950793</v>
      </c>
    </row>
    <row r="174" spans="2:13" ht="15">
      <c r="B174" s="3" t="s">
        <v>36</v>
      </c>
      <c r="C174" s="3" t="s">
        <v>13</v>
      </c>
      <c r="D174" s="3">
        <v>7.867124119938531</v>
      </c>
      <c r="E174" s="3">
        <v>8.490418527076566</v>
      </c>
      <c r="F174" s="3">
        <v>8.794859984013655</v>
      </c>
      <c r="G174" s="3">
        <v>9.96217228403061</v>
      </c>
      <c r="H174" s="3">
        <v>10.2333744426525</v>
      </c>
      <c r="I174" s="3">
        <v>10.15688470912627</v>
      </c>
      <c r="J174" s="3">
        <v>9.556002027222705</v>
      </c>
      <c r="K174" s="3">
        <v>5.659408045755146</v>
      </c>
      <c r="L174" s="3">
        <v>6.328152500806995</v>
      </c>
      <c r="M174" s="3">
        <v>6.086724048749586</v>
      </c>
    </row>
    <row r="175" spans="2:13" ht="15">
      <c r="B175" s="3" t="s">
        <v>4</v>
      </c>
      <c r="C175" s="3">
        <v>6.80876254093727</v>
      </c>
      <c r="D175" s="3">
        <v>7.741800355818873</v>
      </c>
      <c r="E175" s="3">
        <v>7.65397053539346</v>
      </c>
      <c r="F175" s="3">
        <v>6.856632508870085</v>
      </c>
      <c r="G175" s="3">
        <v>6.411184003624173</v>
      </c>
      <c r="H175" s="3">
        <v>7.0884701038729725</v>
      </c>
      <c r="I175" s="3">
        <v>7.439047173174727</v>
      </c>
      <c r="J175" s="3">
        <v>7.885438477501038</v>
      </c>
      <c r="K175" s="3">
        <v>6.560402160852005</v>
      </c>
      <c r="L175" s="3">
        <v>6.881312935188554</v>
      </c>
      <c r="M175" s="3">
        <v>5.6480608707157955</v>
      </c>
    </row>
    <row r="176" spans="2:13" ht="15">
      <c r="B176" s="3" t="s">
        <v>55</v>
      </c>
      <c r="C176" s="3">
        <v>9.146170189779971</v>
      </c>
      <c r="D176" s="3">
        <v>8.980299092176141</v>
      </c>
      <c r="E176" s="3">
        <v>8.736649690169344</v>
      </c>
      <c r="F176" s="3">
        <v>9.040747889185921</v>
      </c>
      <c r="G176" s="3">
        <v>9.601193314290464</v>
      </c>
      <c r="H176" s="3">
        <v>10.185813158992204</v>
      </c>
      <c r="I176" s="3">
        <v>10.468851909512935</v>
      </c>
      <c r="J176" s="3">
        <v>10.022396525522504</v>
      </c>
      <c r="K176" s="3">
        <v>7.941741875049376</v>
      </c>
      <c r="L176" s="3">
        <v>11.531864687340413</v>
      </c>
      <c r="M176" s="3">
        <v>4.957663174634173</v>
      </c>
    </row>
    <row r="177" spans="2:13" ht="15">
      <c r="B177" s="3" t="s">
        <v>29</v>
      </c>
      <c r="C177" s="3">
        <v>12.159417060928142</v>
      </c>
      <c r="D177" s="3">
        <v>14.02962295779229</v>
      </c>
      <c r="E177" s="3">
        <v>4.440838891893516</v>
      </c>
      <c r="F177" s="3">
        <v>4.528012279355334</v>
      </c>
      <c r="G177" s="3">
        <v>4.912748165153984</v>
      </c>
      <c r="H177" s="3">
        <v>4.7072053980239374</v>
      </c>
      <c r="I177" s="3">
        <v>4.869354675992871</v>
      </c>
      <c r="J177" s="3">
        <v>4.479197467993998</v>
      </c>
      <c r="K177" s="3">
        <v>3.180574925134326</v>
      </c>
      <c r="L177" s="3">
        <v>4.328611658984717</v>
      </c>
      <c r="M177" s="3">
        <v>4.198626540508818</v>
      </c>
    </row>
    <row r="178" spans="2:13" ht="15">
      <c r="B178" s="3" t="s">
        <v>6</v>
      </c>
      <c r="C178" s="3">
        <v>5.44859646981484</v>
      </c>
      <c r="D178" s="3">
        <v>3.853461263290313</v>
      </c>
      <c r="E178" s="3">
        <v>4.909377083720901</v>
      </c>
      <c r="F178" s="3">
        <v>5.035295634948624</v>
      </c>
      <c r="G178" s="3">
        <v>5.474222457733649</v>
      </c>
      <c r="H178" s="3">
        <v>5.033113559325158</v>
      </c>
      <c r="I178" s="3">
        <v>5.4125071212586</v>
      </c>
      <c r="J178" s="3">
        <v>5.563722624079117</v>
      </c>
      <c r="K178" s="3">
        <v>4.448735835297213</v>
      </c>
      <c r="L178" s="3">
        <v>4.703636845547377</v>
      </c>
      <c r="M178" s="3">
        <v>4.1679197225887625</v>
      </c>
    </row>
    <row r="179" spans="2:13" ht="15">
      <c r="B179" s="3" t="s">
        <v>7</v>
      </c>
      <c r="C179" s="3">
        <v>3.772398092514014</v>
      </c>
      <c r="D179" s="3">
        <v>3.8608000027652656</v>
      </c>
      <c r="E179" s="3">
        <v>5.037334431733549</v>
      </c>
      <c r="F179" s="3">
        <v>4.731582732029061</v>
      </c>
      <c r="G179" s="3">
        <v>5.139388072749945</v>
      </c>
      <c r="H179" s="3">
        <v>4.707579013147354</v>
      </c>
      <c r="I179" s="3">
        <v>5.050033620059534</v>
      </c>
      <c r="J179" s="3">
        <v>4.9349336435691855</v>
      </c>
      <c r="K179" s="3">
        <v>4.261212397481776</v>
      </c>
      <c r="L179" s="3">
        <v>4.950497461355183</v>
      </c>
      <c r="M179" s="3">
        <v>4.0726533251028245</v>
      </c>
    </row>
    <row r="180" spans="2:13" ht="15">
      <c r="B180" s="3" t="s">
        <v>3</v>
      </c>
      <c r="C180" s="3">
        <v>3.967289454256346</v>
      </c>
      <c r="D180" s="3">
        <v>4.061530450630275</v>
      </c>
      <c r="E180" s="3">
        <v>4.159508186541368</v>
      </c>
      <c r="F180" s="3">
        <v>4.60239945761646</v>
      </c>
      <c r="G180" s="3">
        <v>4.836578356450465</v>
      </c>
      <c r="H180" s="3">
        <v>5.079282104896323</v>
      </c>
      <c r="I180" s="3">
        <v>5.015952373121073</v>
      </c>
      <c r="J180" s="3">
        <v>4.1879266292948945</v>
      </c>
      <c r="K180" s="3">
        <v>2.812666233228914</v>
      </c>
      <c r="L180" s="3">
        <v>3.5386987181317267</v>
      </c>
      <c r="M180" s="3">
        <v>3.2609072562468358</v>
      </c>
    </row>
    <row r="181" spans="2:13" ht="15">
      <c r="B181" s="3" t="s">
        <v>9</v>
      </c>
      <c r="C181" s="3">
        <v>5.360021667075074</v>
      </c>
      <c r="D181" s="3">
        <v>3.0259052318409405</v>
      </c>
      <c r="E181" s="3">
        <v>3.1008701629726425</v>
      </c>
      <c r="F181" s="3">
        <v>3.7588771902021576</v>
      </c>
      <c r="G181" s="3">
        <v>3.825535904814252</v>
      </c>
      <c r="H181" s="3">
        <v>3.62890113186102</v>
      </c>
      <c r="I181" s="3">
        <v>4.003067673619238</v>
      </c>
      <c r="J181" s="3">
        <v>3.858221394254339</v>
      </c>
      <c r="K181" s="3">
        <v>2.436135240858754</v>
      </c>
      <c r="L181" s="3">
        <v>3.2116893485973623</v>
      </c>
      <c r="M181" s="3">
        <v>3.114992981175304</v>
      </c>
    </row>
    <row r="182" spans="2:13" ht="15">
      <c r="B182" s="3" t="s">
        <v>56</v>
      </c>
      <c r="C182" s="3">
        <v>2.955698454866715</v>
      </c>
      <c r="D182" s="3">
        <v>3.2424113864557076</v>
      </c>
      <c r="E182" s="3" t="s">
        <v>13</v>
      </c>
      <c r="F182" s="3">
        <v>4.048000613426369</v>
      </c>
      <c r="G182" s="3">
        <v>4.37478521793592</v>
      </c>
      <c r="H182" s="3">
        <v>4.083633741888969</v>
      </c>
      <c r="I182" s="3">
        <v>4.073895826473146</v>
      </c>
      <c r="J182" s="3">
        <v>4.0088271302982825</v>
      </c>
      <c r="K182" s="3">
        <v>3.202664126800192</v>
      </c>
      <c r="L182" s="3">
        <v>3.720493981553853</v>
      </c>
      <c r="M182" s="3">
        <v>3.041592445683484</v>
      </c>
    </row>
    <row r="183" spans="2:13" ht="15">
      <c r="B183" s="3" t="s">
        <v>27</v>
      </c>
      <c r="C183" s="3">
        <v>2.0898180423918027</v>
      </c>
      <c r="D183" s="3" t="s">
        <v>13</v>
      </c>
      <c r="E183" s="3">
        <v>2.736857940155334</v>
      </c>
      <c r="F183" s="3">
        <v>3.3594040230425932</v>
      </c>
      <c r="G183" s="3">
        <v>2.8856737186849646</v>
      </c>
      <c r="H183" s="3">
        <v>2.9761437398561448</v>
      </c>
      <c r="I183" s="3">
        <v>3.247108920709067</v>
      </c>
      <c r="J183" s="3">
        <v>3.335850670691772</v>
      </c>
      <c r="K183" s="3">
        <v>2.5240885655186207</v>
      </c>
      <c r="L183" s="3">
        <v>2.8177055363210477</v>
      </c>
      <c r="M183" s="3">
        <v>2.5940720320309056</v>
      </c>
    </row>
    <row r="184" spans="2:13" ht="15">
      <c r="B184" s="3" t="s">
        <v>5</v>
      </c>
      <c r="C184" s="3">
        <v>3.7084343609282993</v>
      </c>
      <c r="D184" s="3">
        <v>5.182704590890392</v>
      </c>
      <c r="E184" s="3">
        <v>5.915839297263107</v>
      </c>
      <c r="F184" s="3">
        <v>7.624689601390039</v>
      </c>
      <c r="G184" s="3">
        <v>9.51791310564041</v>
      </c>
      <c r="H184" s="3">
        <v>9.842435349700699</v>
      </c>
      <c r="I184" s="3">
        <v>10.294150073868272</v>
      </c>
      <c r="J184" s="3">
        <v>10.49728892331526</v>
      </c>
      <c r="K184" s="3">
        <v>8.172587326854059</v>
      </c>
      <c r="L184" s="3">
        <v>2.674121794092622</v>
      </c>
      <c r="M184" s="3">
        <v>2.4096762514359273</v>
      </c>
    </row>
    <row r="185" spans="2:13" ht="15">
      <c r="B185" s="3" t="s">
        <v>10</v>
      </c>
      <c r="C185" s="3">
        <v>2.92538336793692</v>
      </c>
      <c r="D185" s="3">
        <v>2.7059375293124472</v>
      </c>
      <c r="E185" s="3">
        <v>2.457282047553261</v>
      </c>
      <c r="F185" s="3">
        <v>2.5442754242804915</v>
      </c>
      <c r="G185" s="3">
        <v>2.93483712670634</v>
      </c>
      <c r="H185" s="3">
        <v>3.1855711788798162</v>
      </c>
      <c r="I185" s="3">
        <v>3.1367198674643118</v>
      </c>
      <c r="J185" s="3">
        <v>2.934202681772051</v>
      </c>
      <c r="K185" s="3">
        <v>2.4513701171357396</v>
      </c>
      <c r="L185" s="3">
        <v>2.4189433347179956</v>
      </c>
      <c r="M185" s="3">
        <v>2.11733064949234</v>
      </c>
    </row>
    <row r="186" spans="2:13" ht="15">
      <c r="B186" s="3" t="s">
        <v>34</v>
      </c>
      <c r="C186" s="3">
        <v>1.5125377021447095</v>
      </c>
      <c r="D186" s="3" t="s">
        <v>13</v>
      </c>
      <c r="E186" s="3">
        <v>2.3562971646872053</v>
      </c>
      <c r="F186" s="3">
        <v>2.85093346958885</v>
      </c>
      <c r="G186" s="3">
        <v>3.1748054520730666</v>
      </c>
      <c r="H186" s="3">
        <v>3.072669578057746</v>
      </c>
      <c r="I186" s="3">
        <v>3.148691665206472</v>
      </c>
      <c r="J186" s="3">
        <v>2.817100614985014</v>
      </c>
      <c r="K186" s="3">
        <v>2.215949764926167</v>
      </c>
      <c r="L186" s="3">
        <v>2.3317112442717147</v>
      </c>
      <c r="M186" s="3">
        <v>1.942564980693303</v>
      </c>
    </row>
    <row r="187" spans="2:13" ht="15">
      <c r="B187" s="3" t="s">
        <v>1</v>
      </c>
      <c r="C187" s="3">
        <v>8.294712406921525</v>
      </c>
      <c r="D187" s="3">
        <v>2.4347933673403634</v>
      </c>
      <c r="E187" s="3">
        <v>2.6097723823975723</v>
      </c>
      <c r="F187" s="3">
        <v>3.0749947681208667</v>
      </c>
      <c r="G187" s="3">
        <v>2.755883968770588</v>
      </c>
      <c r="H187" s="3">
        <v>2.951940592609044</v>
      </c>
      <c r="I187" s="3">
        <v>3.3116752751364276</v>
      </c>
      <c r="J187" s="3">
        <v>2.2831796995688234</v>
      </c>
      <c r="K187" s="3">
        <v>1.4088780337688627</v>
      </c>
      <c r="L187" s="3">
        <v>2.1020077903837175</v>
      </c>
      <c r="M187" s="3">
        <v>1.7824011738487866</v>
      </c>
    </row>
    <row r="188" spans="2:13" ht="15">
      <c r="B188" s="3" t="s">
        <v>40</v>
      </c>
      <c r="C188" s="3">
        <v>2.2128834301891107</v>
      </c>
      <c r="D188" s="3">
        <v>0.8856778736396226</v>
      </c>
      <c r="E188" s="3">
        <v>1.1259406774792715</v>
      </c>
      <c r="F188" s="3">
        <v>1.4339920644092607</v>
      </c>
      <c r="G188" s="3">
        <v>1.725240818783865</v>
      </c>
      <c r="H188" s="3">
        <v>1.9425495382616362</v>
      </c>
      <c r="I188" s="3">
        <v>1.590389222096144</v>
      </c>
      <c r="J188" s="3">
        <v>1.7582762955720075</v>
      </c>
      <c r="K188" s="3">
        <v>1.3114895080839355</v>
      </c>
      <c r="L188" s="3">
        <v>1.715482590777267</v>
      </c>
      <c r="M188" s="3">
        <v>1.7420075271930187</v>
      </c>
    </row>
    <row r="189" spans="2:13" ht="15">
      <c r="B189" s="3" t="s">
        <v>41</v>
      </c>
      <c r="C189" s="3">
        <v>3.8875878220140514</v>
      </c>
      <c r="D189" s="3">
        <v>3.9739984325296205</v>
      </c>
      <c r="E189" s="3">
        <v>3.802807319893875</v>
      </c>
      <c r="F189" s="3">
        <v>1.3635025254241127</v>
      </c>
      <c r="G189" s="3">
        <v>1.6564471304424546</v>
      </c>
      <c r="H189" s="3">
        <v>1.5957900119311401</v>
      </c>
      <c r="I189" s="3">
        <v>1.8689673545504846</v>
      </c>
      <c r="J189" s="3">
        <v>1.550096757632005</v>
      </c>
      <c r="K189" s="3">
        <v>1.2220428867881024</v>
      </c>
      <c r="L189" s="3">
        <v>1.1690698599768838</v>
      </c>
      <c r="M189" s="3">
        <v>1.4386213057395965</v>
      </c>
    </row>
    <row r="190" spans="2:13" ht="15">
      <c r="B190" s="3" t="s">
        <v>139</v>
      </c>
      <c r="C190" s="3">
        <v>7.844417342893576</v>
      </c>
      <c r="D190" s="3">
        <v>1.9682861078083984</v>
      </c>
      <c r="E190" s="3">
        <v>3.487039042099229</v>
      </c>
      <c r="F190" s="3">
        <v>4.919629349470499</v>
      </c>
      <c r="G190" s="3">
        <v>5.838662741515243</v>
      </c>
      <c r="H190" s="3">
        <v>4.115654713815176</v>
      </c>
      <c r="I190" s="3">
        <v>4.196398355426588</v>
      </c>
      <c r="J190" s="3">
        <v>3.339321927782995</v>
      </c>
      <c r="K190" s="3">
        <v>1.7411419322284911</v>
      </c>
      <c r="L190" s="3">
        <v>2.6095592799503415</v>
      </c>
      <c r="M190" s="3">
        <v>0.45289324031189543</v>
      </c>
    </row>
    <row r="191" spans="2:13" ht="15">
      <c r="B191" s="3" t="s">
        <v>101</v>
      </c>
      <c r="D191" s="3" t="s">
        <v>13</v>
      </c>
      <c r="E191" s="3" t="s">
        <v>13</v>
      </c>
      <c r="F191" s="3" t="s">
        <v>13</v>
      </c>
      <c r="G191" s="3" t="s">
        <v>13</v>
      </c>
      <c r="H191" s="3">
        <v>9.569702021254429</v>
      </c>
      <c r="I191" s="3">
        <v>7.881821993144097</v>
      </c>
      <c r="J191" s="3">
        <v>5.494531792184172</v>
      </c>
      <c r="K191" s="3">
        <v>4.112838821816132</v>
      </c>
      <c r="L191" s="3">
        <v>4.793087767166894</v>
      </c>
      <c r="M191" s="3" t="s">
        <v>13</v>
      </c>
    </row>
    <row r="192" spans="2:13" ht="15">
      <c r="B192" s="3" t="s">
        <v>42</v>
      </c>
      <c r="D192" s="3">
        <v>6.642903434867142</v>
      </c>
      <c r="E192" s="3">
        <v>7.655194596333226</v>
      </c>
      <c r="F192" s="3">
        <v>9.565764631843928</v>
      </c>
      <c r="G192" s="3">
        <v>8.52099817407182</v>
      </c>
      <c r="H192" s="3">
        <v>8.138839018551765</v>
      </c>
      <c r="I192" s="3">
        <v>8.619685497961562</v>
      </c>
      <c r="J192" s="3">
        <v>7.716312056737588</v>
      </c>
      <c r="K192" s="3">
        <v>6.469760900140647</v>
      </c>
      <c r="L192" s="3">
        <v>6.556473829201102</v>
      </c>
      <c r="M192" s="3">
        <v>6.244864420706656</v>
      </c>
    </row>
    <row r="193" spans="2:13" ht="15">
      <c r="B193" s="3" t="s">
        <v>37</v>
      </c>
      <c r="C193" s="3">
        <v>6.904897074436711</v>
      </c>
      <c r="D193" s="3" t="s">
        <v>13</v>
      </c>
      <c r="E193" s="3" t="s">
        <v>13</v>
      </c>
      <c r="F193" s="3" t="s">
        <v>13</v>
      </c>
      <c r="G193" s="3">
        <v>7.013258460343621</v>
      </c>
      <c r="H193" s="3">
        <v>7.0927408553298</v>
      </c>
      <c r="I193" s="3">
        <v>7.15341423398959</v>
      </c>
      <c r="J193" s="3">
        <v>7.241569160068291</v>
      </c>
      <c r="K193" s="3">
        <v>6.2703706802206565</v>
      </c>
      <c r="L193" s="3">
        <v>6.472059657203223</v>
      </c>
      <c r="M193" s="3">
        <v>5.718184678704419</v>
      </c>
    </row>
    <row r="194" spans="2:13" ht="15">
      <c r="B194" s="3" t="s">
        <v>38</v>
      </c>
      <c r="C194" s="3">
        <v>9.533020171318043</v>
      </c>
      <c r="D194" s="3">
        <v>8.787406324304383</v>
      </c>
      <c r="E194" s="3">
        <v>8.738336459306112</v>
      </c>
      <c r="F194" s="3">
        <v>8.966000843500222</v>
      </c>
      <c r="G194" s="3">
        <v>8.575916127091523</v>
      </c>
      <c r="H194" s="3">
        <v>9.003339727875803</v>
      </c>
      <c r="I194" s="3">
        <v>8.754034439655976</v>
      </c>
      <c r="J194" s="3">
        <v>9.076327998275842</v>
      </c>
      <c r="K194" s="3">
        <v>7.1674045636087795</v>
      </c>
      <c r="L194" s="3">
        <v>7.198965851556609</v>
      </c>
      <c r="M194" s="3">
        <v>6.083907557902437</v>
      </c>
    </row>
    <row r="196" spans="2:13" ht="15">
      <c r="B196" s="3" t="s">
        <v>78</v>
      </c>
      <c r="C196" s="3" t="s">
        <v>13</v>
      </c>
      <c r="D196" s="3">
        <v>1.8589589829695372</v>
      </c>
      <c r="E196" s="3">
        <v>2.136266332029231</v>
      </c>
      <c r="F196" s="3">
        <v>2.223603741668715</v>
      </c>
      <c r="G196" s="3">
        <v>2.705141017099711</v>
      </c>
      <c r="H196" s="3">
        <v>3.1265853202680693</v>
      </c>
      <c r="I196" s="3">
        <v>1.5853201847459741</v>
      </c>
      <c r="J196" s="3">
        <v>3.025854131933212</v>
      </c>
      <c r="K196" s="3">
        <v>1.7423941141379997</v>
      </c>
      <c r="L196" s="3">
        <v>2.190466134009128</v>
      </c>
      <c r="M196" s="3">
        <v>2.1007730661909334</v>
      </c>
    </row>
    <row r="197" spans="2:13" ht="15">
      <c r="B197" s="3" t="s">
        <v>79</v>
      </c>
      <c r="C197" s="3" t="s">
        <v>13</v>
      </c>
      <c r="D197" s="3" t="s">
        <v>13</v>
      </c>
      <c r="E197" s="3" t="s">
        <v>13</v>
      </c>
      <c r="F197" s="3" t="s">
        <v>13</v>
      </c>
      <c r="G197" s="3">
        <v>2.776649058648246</v>
      </c>
      <c r="H197" s="3">
        <v>2.4024024024024024</v>
      </c>
      <c r="I197" s="3">
        <v>2.505643340857788</v>
      </c>
      <c r="J197" s="3">
        <v>2.185136897001304</v>
      </c>
      <c r="K197" s="3" t="s">
        <v>13</v>
      </c>
      <c r="L197" s="3" t="s">
        <v>13</v>
      </c>
      <c r="M197" s="3" t="s">
        <v>13</v>
      </c>
    </row>
    <row r="198" spans="2:13" ht="15">
      <c r="B198" s="3" t="s">
        <v>199</v>
      </c>
      <c r="C198" s="3">
        <v>8.062156626897696</v>
      </c>
      <c r="D198" s="3">
        <v>10.21483583299554</v>
      </c>
      <c r="E198" s="3">
        <v>9.584603658536585</v>
      </c>
      <c r="F198" s="3">
        <v>10.420106402494955</v>
      </c>
      <c r="G198" s="3">
        <v>12.978723404255318</v>
      </c>
      <c r="H198" s="3">
        <v>11.613014884042922</v>
      </c>
      <c r="I198" s="3">
        <v>9.068234455727776</v>
      </c>
      <c r="J198" s="3">
        <v>9.714795008912656</v>
      </c>
      <c r="K198" s="3">
        <v>9.597030752916226</v>
      </c>
      <c r="L198" s="3">
        <v>10.671678378820069</v>
      </c>
      <c r="M198" s="3">
        <v>9.79209649262022</v>
      </c>
    </row>
    <row r="199" spans="2:13" ht="15">
      <c r="B199" s="3" t="s">
        <v>77</v>
      </c>
      <c r="C199" s="3" t="s">
        <v>13</v>
      </c>
      <c r="D199" s="3" t="s">
        <v>13</v>
      </c>
      <c r="E199" s="3" t="s">
        <v>13</v>
      </c>
      <c r="F199" s="3" t="s">
        <v>13</v>
      </c>
      <c r="G199" s="3" t="s">
        <v>13</v>
      </c>
      <c r="H199" s="3" t="s">
        <v>13</v>
      </c>
      <c r="I199" s="3" t="s">
        <v>13</v>
      </c>
      <c r="J199" s="3" t="s">
        <v>13</v>
      </c>
      <c r="K199" s="3" t="s">
        <v>13</v>
      </c>
      <c r="L199" s="3" t="s">
        <v>13</v>
      </c>
      <c r="M199" s="3" t="s">
        <v>13</v>
      </c>
    </row>
    <row r="200" spans="2:13" ht="15">
      <c r="B200" s="3" t="s">
        <v>200</v>
      </c>
      <c r="C200" s="3" t="s">
        <v>13</v>
      </c>
      <c r="D200" s="3" t="s">
        <v>13</v>
      </c>
      <c r="E200" s="3" t="s">
        <v>13</v>
      </c>
      <c r="F200" s="3" t="s">
        <v>13</v>
      </c>
      <c r="G200" s="3" t="s">
        <v>13</v>
      </c>
      <c r="H200" s="3" t="s">
        <v>13</v>
      </c>
      <c r="I200" s="3" t="s">
        <v>13</v>
      </c>
      <c r="J200" s="3">
        <v>13.05171946926618</v>
      </c>
      <c r="K200" s="3">
        <v>6.497130102040815</v>
      </c>
      <c r="L200" s="3">
        <v>7.106413994169096</v>
      </c>
      <c r="M200" s="3">
        <v>9.850162866449512</v>
      </c>
    </row>
    <row r="201" spans="2:13" ht="15">
      <c r="B201" s="3" t="s">
        <v>64</v>
      </c>
      <c r="C201" s="3" t="s">
        <v>13</v>
      </c>
      <c r="D201" s="3" t="s">
        <v>13</v>
      </c>
      <c r="E201" s="3" t="s">
        <v>13</v>
      </c>
      <c r="F201" s="3" t="s">
        <v>13</v>
      </c>
      <c r="G201" s="3" t="s">
        <v>13</v>
      </c>
      <c r="H201" s="3" t="s">
        <v>13</v>
      </c>
      <c r="I201" s="3" t="s">
        <v>13</v>
      </c>
      <c r="J201" s="3" t="s">
        <v>13</v>
      </c>
      <c r="K201" s="3" t="s">
        <v>13</v>
      </c>
      <c r="L201" s="3" t="s">
        <v>13</v>
      </c>
      <c r="M201" s="3" t="s">
        <v>13</v>
      </c>
    </row>
    <row r="202" spans="2:13" ht="15">
      <c r="B202" s="3" t="s">
        <v>92</v>
      </c>
      <c r="C202" s="3">
        <v>5.137497505487927</v>
      </c>
      <c r="D202" s="3">
        <v>5.400379506641366</v>
      </c>
      <c r="E202" s="3">
        <v>4.751490208948579</v>
      </c>
      <c r="F202" s="3">
        <v>6.126734091729813</v>
      </c>
      <c r="G202" s="3">
        <v>5.210907590461352</v>
      </c>
      <c r="H202" s="3">
        <v>5.279912740444104</v>
      </c>
      <c r="I202" s="3">
        <v>3.2409180355232574</v>
      </c>
      <c r="J202" s="3">
        <v>1.8755116990563192</v>
      </c>
      <c r="K202" s="3">
        <v>3.2881363420572103</v>
      </c>
      <c r="L202" s="3">
        <v>4.000053583839113</v>
      </c>
      <c r="M202" s="3">
        <v>3.9186968120573864</v>
      </c>
    </row>
    <row r="203" spans="2:13" ht="15">
      <c r="B203" s="3" t="s">
        <v>157</v>
      </c>
      <c r="L203" s="3" t="s">
        <v>13</v>
      </c>
      <c r="M203" s="3" t="s">
        <v>13</v>
      </c>
    </row>
    <row r="205" spans="2:13" ht="15">
      <c r="B205" s="3" t="s">
        <v>71</v>
      </c>
      <c r="C205" s="3" t="s">
        <v>13</v>
      </c>
      <c r="D205" s="3" t="s">
        <v>13</v>
      </c>
      <c r="E205" s="3" t="s">
        <v>13</v>
      </c>
      <c r="F205" s="3" t="s">
        <v>13</v>
      </c>
      <c r="G205" s="3" t="s">
        <v>13</v>
      </c>
      <c r="H205" s="3">
        <v>8.696665889484729</v>
      </c>
      <c r="I205" s="3">
        <v>9.925593818563389</v>
      </c>
      <c r="J205" s="3">
        <v>9.082304349696683</v>
      </c>
      <c r="K205" s="3" t="s">
        <v>13</v>
      </c>
      <c r="L205" s="3">
        <v>11.18620463668387</v>
      </c>
      <c r="M205" s="3" t="s">
        <v>13</v>
      </c>
    </row>
    <row r="206" spans="2:13" ht="15">
      <c r="B206" s="3" t="s">
        <v>195</v>
      </c>
      <c r="C206" s="3" t="s">
        <v>13</v>
      </c>
      <c r="D206" s="3" t="s">
        <v>13</v>
      </c>
      <c r="E206" s="3" t="s">
        <v>13</v>
      </c>
      <c r="F206" s="3" t="s">
        <v>13</v>
      </c>
      <c r="G206" s="3" t="s">
        <v>13</v>
      </c>
      <c r="H206" s="3">
        <v>0.18913428534259324</v>
      </c>
      <c r="I206" s="3">
        <v>0.15787500246679692</v>
      </c>
      <c r="J206" s="3">
        <v>0.1753243020559888</v>
      </c>
      <c r="K206" s="3">
        <v>0.1753243020559888</v>
      </c>
      <c r="L206" s="3">
        <v>0.26304171878448973</v>
      </c>
      <c r="M206" s="3">
        <v>0.26355794226911694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CHALLINOR Vanessa (ESTAT-EXT)</cp:lastModifiedBy>
  <cp:lastPrinted>2016-08-10T14:19:36Z</cp:lastPrinted>
  <dcterms:created xsi:type="dcterms:W3CDTF">2014-07-18T12:58:34Z</dcterms:created>
  <dcterms:modified xsi:type="dcterms:W3CDTF">2024-01-16T09:18:03Z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2023-12-21T09:19:11Z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4e7a29a0-a531-457a-b503-56a7e75dae9e</vt:lpwstr>
  </property>
  <property fmtid="{D5CDD505-2E9C-101B-9397-08002B2CF9AE}" pid="8" name="MSIP_Label_6bd9ddd1-4d20-43f6-abfa-fc3c07406f94_ContentBits">
    <vt:lpwstr>0</vt:lpwstr>
  </property>
</Properties>
</file>